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всего" sheetId="25" r:id="rId1"/>
    <sheet name="СШ №1" sheetId="2" r:id="rId2"/>
    <sheet name="СШ №2" sheetId="6" r:id="rId3"/>
    <sheet name="СШ №3" sheetId="7" r:id="rId4"/>
    <sheet name="СШ №4" sheetId="8" r:id="rId5"/>
    <sheet name="СШ №5" sheetId="9" r:id="rId6"/>
    <sheet name="СШ №6" sheetId="10" r:id="rId7"/>
    <sheet name="СШ №7" sheetId="11" r:id="rId8"/>
    <sheet name="сш №8" sheetId="12" r:id="rId9"/>
    <sheet name="Адыр ош" sheetId="17" r:id="rId10"/>
    <sheet name="борис сш" sheetId="18" r:id="rId11"/>
    <sheet name="бесх" sheetId="19" r:id="rId12"/>
    <sheet name="есенг" sheetId="20" r:id="rId13"/>
    <sheet name="марКсш" sheetId="21" r:id="rId14"/>
    <sheet name="мар СШ" sheetId="22" r:id="rId15"/>
    <sheet name="магд" sheetId="26" r:id="rId16"/>
    <sheet name="новос" sheetId="23" r:id="rId17"/>
    <sheet name="ново-мар" sheetId="24" r:id="rId18"/>
    <sheet name="акана курманова" sheetId="27" r:id="rId19"/>
    <sheet name="бастау1" sheetId="28" r:id="rId20"/>
    <sheet name="бастау2)" sheetId="45" r:id="rId21"/>
    <sheet name="попв" sheetId="29" r:id="rId22"/>
    <sheet name="покр" sheetId="30" r:id="rId23"/>
    <sheet name="полт" sheetId="31" r:id="rId24"/>
    <sheet name="радион" sheetId="32" r:id="rId25"/>
    <sheet name="соч" sheetId="33" r:id="rId26"/>
    <sheet name="серг" sheetId="34" r:id="rId27"/>
    <sheet name="сепе" sheetId="46" r:id="rId28"/>
    <sheet name="сам.ош" sheetId="35" r:id="rId29"/>
    <sheet name="сад.ош" sheetId="36" r:id="rId30"/>
    <sheet name="тимаш" sheetId="37" r:id="rId31"/>
    <sheet name="тельм" sheetId="38" r:id="rId32"/>
    <sheet name="титов" sheetId="39" r:id="rId33"/>
    <sheet name="шуйск" sheetId="40" r:id="rId3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/>
  <c r="E29" i="12" l="1"/>
  <c r="D12" i="40"/>
  <c r="C12"/>
  <c r="D12" i="39"/>
  <c r="C12"/>
  <c r="D12" i="38"/>
  <c r="C12"/>
  <c r="D12" i="37"/>
  <c r="C12"/>
  <c r="D12" i="36"/>
  <c r="C12"/>
  <c r="D12" i="35"/>
  <c r="C12"/>
  <c r="D12" i="46"/>
  <c r="C12"/>
  <c r="D12" i="34"/>
  <c r="C12"/>
  <c r="D12" i="33"/>
  <c r="C12"/>
  <c r="D12" i="32"/>
  <c r="C12"/>
  <c r="D12" i="31"/>
  <c r="C12"/>
  <c r="D12" i="30"/>
  <c r="C12"/>
  <c r="D12" i="29"/>
  <c r="C12"/>
  <c r="D12" i="45"/>
  <c r="C12"/>
  <c r="D12" i="28"/>
  <c r="C12"/>
  <c r="D12" i="27"/>
  <c r="C12"/>
  <c r="D12" i="24"/>
  <c r="C12"/>
  <c r="D12" i="23"/>
  <c r="C12"/>
  <c r="D12" i="26"/>
  <c r="C12"/>
  <c r="D12" i="22"/>
  <c r="C12"/>
  <c r="D12" i="21"/>
  <c r="C12"/>
  <c r="D12" i="20"/>
  <c r="C12"/>
  <c r="D12" i="19"/>
  <c r="C12"/>
  <c r="D12" i="18"/>
  <c r="C12"/>
  <c r="D12" i="17"/>
  <c r="C12"/>
  <c r="D12" i="11"/>
  <c r="C12"/>
  <c r="D12" i="10"/>
  <c r="C12"/>
  <c r="D12" i="12"/>
  <c r="C12"/>
  <c r="D12" i="9"/>
  <c r="C12"/>
  <c r="D12" i="8"/>
  <c r="C12"/>
  <c r="D12" i="7"/>
  <c r="C12"/>
  <c r="D12" i="6"/>
  <c r="C12"/>
  <c r="D12" i="2"/>
  <c r="E12"/>
  <c r="C12"/>
  <c r="C30" i="25"/>
  <c r="C31"/>
  <c r="C32"/>
  <c r="C33"/>
  <c r="D29" i="2" l="1"/>
  <c r="D30"/>
  <c r="E19" i="40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5" i="39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37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38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D14" i="33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34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35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46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36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32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5" i="29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30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31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24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23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9"/>
  <c r="D14" i="10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5" i="9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5" i="8" l="1"/>
  <c r="E13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7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5" i="26"/>
  <c r="E13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22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21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20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19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18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45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 i="28"/>
  <c r="E13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D14" i="17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/>
  <c r="E19" i="27"/>
  <c r="E15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5" i="12"/>
  <c r="E13" s="1"/>
  <c r="E12" s="1"/>
  <c r="E19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5" i="11"/>
  <c r="E13" s="1"/>
  <c r="E12" s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3"/>
  <c r="E19"/>
  <c r="E19" i="10"/>
  <c r="E15" i="6"/>
  <c r="E13" s="1"/>
  <c r="E12" s="1"/>
  <c r="D22"/>
  <c r="D25"/>
  <c r="D28"/>
  <c r="E19"/>
  <c r="E15" i="2"/>
  <c r="D18"/>
  <c r="D19"/>
  <c r="D20"/>
  <c r="D21"/>
  <c r="D22"/>
  <c r="D23"/>
  <c r="D24"/>
  <c r="D25"/>
  <c r="D26"/>
  <c r="D27"/>
  <c r="D28"/>
  <c r="D31"/>
  <c r="D32"/>
  <c r="D33"/>
  <c r="D17"/>
  <c r="D15"/>
  <c r="D13"/>
  <c r="E19"/>
  <c r="C28" i="40" l="1"/>
  <c r="E28"/>
  <c r="C25"/>
  <c r="C21"/>
  <c r="C22" s="1"/>
  <c r="C19"/>
  <c r="C28" i="39"/>
  <c r="E28"/>
  <c r="C25"/>
  <c r="C22"/>
  <c r="E22"/>
  <c r="C28" i="38"/>
  <c r="E28"/>
  <c r="C25"/>
  <c r="C22"/>
  <c r="E22"/>
  <c r="C19"/>
  <c r="C28" i="37"/>
  <c r="E28"/>
  <c r="C25"/>
  <c r="C21"/>
  <c r="C22" s="1"/>
  <c r="C19"/>
  <c r="C27" i="36"/>
  <c r="C28" s="1"/>
  <c r="C25"/>
  <c r="E25"/>
  <c r="C22"/>
  <c r="C19"/>
  <c r="C28" i="35"/>
  <c r="E28"/>
  <c r="C25"/>
  <c r="C21"/>
  <c r="C22" s="1"/>
  <c r="E22"/>
  <c r="C19"/>
  <c r="C28" i="46"/>
  <c r="E28"/>
  <c r="C25"/>
  <c r="C21"/>
  <c r="C22" s="1"/>
  <c r="C19"/>
  <c r="C28" i="34"/>
  <c r="E28"/>
  <c r="C25"/>
  <c r="C21"/>
  <c r="C22" s="1"/>
  <c r="C19"/>
  <c r="C28" i="33"/>
  <c r="E28"/>
  <c r="C25"/>
  <c r="C21"/>
  <c r="C22" s="1"/>
  <c r="C19"/>
  <c r="C28" i="32"/>
  <c r="E28"/>
  <c r="C25"/>
  <c r="C21"/>
  <c r="C22" s="1"/>
  <c r="C19"/>
  <c r="C28" i="31"/>
  <c r="C25"/>
  <c r="E25"/>
  <c r="C22"/>
  <c r="C21"/>
  <c r="E22"/>
  <c r="C19"/>
  <c r="C28" i="30"/>
  <c r="E28"/>
  <c r="C25"/>
  <c r="C21"/>
  <c r="C22" s="1"/>
  <c r="E22"/>
  <c r="C19"/>
  <c r="C28" i="29"/>
  <c r="E28"/>
  <c r="C25"/>
  <c r="C21"/>
  <c r="C22" s="1"/>
  <c r="C28" i="45"/>
  <c r="E28"/>
  <c r="C25"/>
  <c r="C21"/>
  <c r="C22" s="1"/>
  <c r="C19"/>
  <c r="C28" i="28"/>
  <c r="C25"/>
  <c r="E25"/>
  <c r="C21"/>
  <c r="C22" s="1"/>
  <c r="E22"/>
  <c r="C19"/>
  <c r="C28" i="27"/>
  <c r="C25"/>
  <c r="E25"/>
  <c r="C22"/>
  <c r="C21"/>
  <c r="E22"/>
  <c r="C19"/>
  <c r="C28" i="24"/>
  <c r="E28"/>
  <c r="C25"/>
  <c r="C21"/>
  <c r="C22" s="1"/>
  <c r="C19"/>
  <c r="C28" i="23"/>
  <c r="E28"/>
  <c r="C25"/>
  <c r="C21"/>
  <c r="C22" s="1"/>
  <c r="C19"/>
  <c r="C28" i="26"/>
  <c r="E28"/>
  <c r="C25"/>
  <c r="C21"/>
  <c r="C22" s="1"/>
  <c r="C28" i="22"/>
  <c r="E28"/>
  <c r="C25"/>
  <c r="C21"/>
  <c r="C22" s="1"/>
  <c r="C19"/>
  <c r="C28" i="21"/>
  <c r="C25"/>
  <c r="C21"/>
  <c r="C22" s="1"/>
  <c r="C19"/>
  <c r="C28" i="20"/>
  <c r="C25"/>
  <c r="E25"/>
  <c r="C22"/>
  <c r="C21"/>
  <c r="E22"/>
  <c r="C19"/>
  <c r="C28" i="19"/>
  <c r="E28"/>
  <c r="C25"/>
  <c r="C21"/>
  <c r="C22" s="1"/>
  <c r="C19"/>
  <c r="C28" i="18"/>
  <c r="E28"/>
  <c r="C25"/>
  <c r="C21"/>
  <c r="C22" s="1"/>
  <c r="C19"/>
  <c r="C28" i="17"/>
  <c r="E28"/>
  <c r="C25"/>
  <c r="C21"/>
  <c r="C22" s="1"/>
  <c r="C19"/>
  <c r="C28" i="12"/>
  <c r="C25"/>
  <c r="E25"/>
  <c r="C22"/>
  <c r="C21"/>
  <c r="E22"/>
  <c r="C19"/>
  <c r="C28" i="11"/>
  <c r="C25"/>
  <c r="E25"/>
  <c r="C21"/>
  <c r="C20"/>
  <c r="C17"/>
  <c r="C19" s="1"/>
  <c r="C28" i="10"/>
  <c r="C25"/>
  <c r="C21"/>
  <c r="C20"/>
  <c r="C17"/>
  <c r="C19" s="1"/>
  <c r="C28" i="9"/>
  <c r="E28"/>
  <c r="C25"/>
  <c r="C21"/>
  <c r="C20" s="1"/>
  <c r="C19"/>
  <c r="C17"/>
  <c r="C28" i="8"/>
  <c r="E28"/>
  <c r="C25"/>
  <c r="C21"/>
  <c r="C20" s="1"/>
  <c r="C19"/>
  <c r="E19" s="1"/>
  <c r="C17"/>
  <c r="C28" i="7"/>
  <c r="C25"/>
  <c r="C21"/>
  <c r="C20"/>
  <c r="C17"/>
  <c r="C19" s="1"/>
  <c r="C28" i="6"/>
  <c r="C25"/>
  <c r="E25"/>
  <c r="C22"/>
  <c r="C20"/>
  <c r="C19"/>
  <c r="C17"/>
  <c r="C28" i="2"/>
  <c r="E28"/>
  <c r="C25"/>
  <c r="C21"/>
  <c r="C20" s="1"/>
  <c r="C19"/>
  <c r="C17"/>
  <c r="C29"/>
  <c r="C30"/>
  <c r="E19" i="33" l="1"/>
  <c r="E22" i="40"/>
  <c r="E25"/>
  <c r="E25" i="39"/>
  <c r="E25" i="38"/>
  <c r="E22" i="37"/>
  <c r="E25"/>
  <c r="E22" i="36"/>
  <c r="E28"/>
  <c r="E25" i="35"/>
  <c r="E22" i="46"/>
  <c r="E25"/>
  <c r="E22" i="34"/>
  <c r="E25"/>
  <c r="E22" i="33"/>
  <c r="E25"/>
  <c r="E22" i="32"/>
  <c r="E25"/>
  <c r="E28" i="31"/>
  <c r="E25" i="30"/>
  <c r="E22" i="29"/>
  <c r="E25"/>
  <c r="E22" i="45"/>
  <c r="E25"/>
  <c r="E28" i="28"/>
  <c r="E28" i="27"/>
  <c r="E22" i="24"/>
  <c r="E25"/>
  <c r="E22" i="23"/>
  <c r="E25"/>
  <c r="E22" i="26"/>
  <c r="E25"/>
  <c r="E22" i="22"/>
  <c r="E25"/>
  <c r="E22" i="21"/>
  <c r="E25"/>
  <c r="E28"/>
  <c r="E28" i="20"/>
  <c r="E22" i="19"/>
  <c r="E25"/>
  <c r="E22" i="18"/>
  <c r="E25"/>
  <c r="E22" i="17"/>
  <c r="E28" i="12"/>
  <c r="E22" i="11"/>
  <c r="C22"/>
  <c r="E28"/>
  <c r="E22" i="10"/>
  <c r="C22"/>
  <c r="E25"/>
  <c r="C22" i="9"/>
  <c r="E25"/>
  <c r="C22" i="8"/>
  <c r="E25"/>
  <c r="E22" i="7"/>
  <c r="C22"/>
  <c r="E25"/>
  <c r="E28"/>
  <c r="E22" i="6"/>
  <c r="E28"/>
  <c r="C22" i="2"/>
  <c r="E25"/>
  <c r="E15" i="33" l="1"/>
  <c r="E28" i="10"/>
  <c r="E15"/>
  <c r="E25" i="17"/>
  <c r="E15"/>
  <c r="E22" i="9"/>
  <c r="E22" i="8"/>
  <c r="E22" i="2"/>
  <c r="C12" i="25" l="1"/>
  <c r="C13"/>
  <c r="D13"/>
  <c r="C14"/>
  <c r="D14"/>
  <c r="E14"/>
  <c r="C15"/>
  <c r="D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3"/>
  <c r="D23"/>
  <c r="E23"/>
  <c r="C24"/>
  <c r="D24"/>
  <c r="E24"/>
  <c r="C25"/>
  <c r="D25"/>
  <c r="E25"/>
  <c r="C26"/>
  <c r="D26"/>
  <c r="E26"/>
  <c r="C27"/>
  <c r="D27"/>
  <c r="E27"/>
  <c r="C28"/>
  <c r="D28"/>
  <c r="E28"/>
  <c r="C29"/>
  <c r="D29"/>
  <c r="D30"/>
  <c r="D31"/>
  <c r="E31"/>
  <c r="D32"/>
  <c r="D33"/>
  <c r="D11"/>
  <c r="E11"/>
  <c r="C11"/>
  <c r="D12"/>
  <c r="E33" i="40"/>
  <c r="E33" i="39"/>
  <c r="E29"/>
  <c r="E32" i="37"/>
  <c r="E15" i="25"/>
  <c r="E33" i="34"/>
  <c r="E13" i="33"/>
  <c r="E12" s="1"/>
  <c r="E33" i="32"/>
  <c r="E30"/>
  <c r="E33" i="29"/>
  <c r="E30"/>
  <c r="E15" i="28"/>
  <c r="E33" i="26"/>
  <c r="E30"/>
  <c r="E33" i="17"/>
  <c r="E13"/>
  <c r="E12" s="1"/>
  <c r="E13" i="10"/>
  <c r="E12" s="1"/>
  <c r="E32" i="9"/>
  <c r="E32" i="8"/>
  <c r="C30" i="6"/>
  <c r="C29"/>
  <c r="E12" i="25" l="1"/>
  <c r="E32"/>
  <c r="E33"/>
  <c r="E13"/>
  <c r="E30"/>
  <c r="E29"/>
  <c r="C33" i="40"/>
  <c r="C33" i="39"/>
  <c r="C33" i="38"/>
  <c r="C33" i="37"/>
  <c r="C33" i="36"/>
  <c r="C33" i="35"/>
  <c r="C33" i="46"/>
  <c r="C33" i="34"/>
  <c r="C33" i="33"/>
  <c r="C33" i="32"/>
  <c r="C33" i="31"/>
  <c r="C33" i="30"/>
  <c r="C33" i="29"/>
  <c r="C33" i="45"/>
  <c r="C33" i="28"/>
  <c r="C33" i="27"/>
  <c r="C33" i="24"/>
  <c r="C33" i="23"/>
  <c r="C33" i="26"/>
  <c r="C33" i="22"/>
  <c r="C33" i="21"/>
  <c r="C33" i="20"/>
  <c r="E33" i="19"/>
  <c r="C33"/>
  <c r="C33" i="18"/>
  <c r="C33" i="17"/>
  <c r="C33" i="12"/>
  <c r="C33" i="11"/>
  <c r="C33" i="10"/>
  <c r="C33" i="9"/>
  <c r="C33" i="8"/>
  <c r="C33" i="7"/>
  <c r="C33" i="6"/>
</calcChain>
</file>

<file path=xl/sharedStrings.xml><?xml version="1.0" encoding="utf-8"?>
<sst xmlns="http://schemas.openxmlformats.org/spreadsheetml/2006/main" count="1883" uniqueCount="78">
  <si>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</si>
  <si>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</si>
  <si>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</si>
  <si>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</si>
  <si>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</si>
  <si>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</si>
  <si>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</si>
  <si>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</si>
  <si>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</si>
  <si>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</si>
  <si>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</si>
  <si>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</si>
  <si>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</si>
  <si>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</si>
  <si>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</si>
  <si>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</si>
  <si>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</si>
  <si>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</si>
  <si>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</si>
  <si>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</si>
  <si>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</si>
  <si>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</si>
  <si>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</si>
  <si>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</si>
  <si>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</si>
  <si>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</si>
  <si>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</si>
  <si>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</si>
  <si>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</si>
  <si>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</si>
  <si>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КГУ "Средняя школа №1 города Атбасар отдела образования Атбасарского района"</t>
  </si>
  <si>
    <t>Коммунальное государственное учреждение "Средняя школа №2 города Атбасар отдела образования Атбасарского района"</t>
  </si>
  <si>
    <t>КГУ "Средняя школа №3 города Атбасар отдела образования Атбасарского района"</t>
  </si>
  <si>
    <t>КГУ "Средняя школа №4 города Атбасар отдела образования Атбасарского района"</t>
  </si>
  <si>
    <t>КГУ "Средняя школа №5 города Атбасар отдела образования Атбасарского района"</t>
  </si>
  <si>
    <t>КГУ "Казахская средняя школа №7 города Атбасар отдела образования Атбасарского района"</t>
  </si>
  <si>
    <t>Коммунальное государственное учреждение "Средняя школа №6 отдела образования Атбасарского района"</t>
  </si>
  <si>
    <t>КГУ "Средняя школа №8 с пришкольным интернатом города Атбасар отдела образования Атбасарского района"</t>
  </si>
  <si>
    <t>КГУ "Борисовкая средняя школа отдела образования Атбасарского района"</t>
  </si>
  <si>
    <t>КГУ "Бейсхазретская основная школа отдела образования Атбасарского района"</t>
  </si>
  <si>
    <t>КГУ "Есенгельдинская средняя школа отдела образования "</t>
  </si>
  <si>
    <t>КГУ "Адырская основная школа отдела образования Атбасарского района отдела образования Атбасарского района""</t>
  </si>
  <si>
    <t>КГУ "Мариновская казахская средняя школа отдела образования Атбасарского района"</t>
  </si>
  <si>
    <t>КГУ "Мариновская средняя школа отдела образования Атбасарского района"</t>
  </si>
  <si>
    <t>КГУ "Новосельская средняя школа отдела образования Атбасарского района"</t>
  </si>
  <si>
    <t>ГУ "Ново - Мариновская основная школа отдела образования Атбасарского района"</t>
  </si>
  <si>
    <t>КГУ "Средняя школа №1 с.Бастау отдела образования Атбасарского района"</t>
  </si>
  <si>
    <t>КГУ "Средняя школа №2 с.Бастау отдела образования Атбасарского района"</t>
  </si>
  <si>
    <t>КГУ "Поповская начальная школа отдела образования Атбасарского района"</t>
  </si>
  <si>
    <t>КГУ "Покровская средняя школа отдела образования Атбасарского района"</t>
  </si>
  <si>
    <t>КГУ "Полтавская средняя школа отдела образования Атбасарского района"</t>
  </si>
  <si>
    <t>КГУ "Родионовская основная школа отдела образования Атбасарского района"</t>
  </si>
  <si>
    <t>КГУ "Сочинская средняя школа отдела образования Атбасарского района"</t>
  </si>
  <si>
    <t>КГУ "Самарская основная школа отдела образования Атбасарского района"</t>
  </si>
  <si>
    <t>КГУ "Садовая основная школа отдела образования Атбасарского района"</t>
  </si>
  <si>
    <t>КГУ "Тимашевская средняя школа отдела образования Атбасарского района"</t>
  </si>
  <si>
    <t>КГУ "Тельманская средняя школа отдела образования Атбасарского района"</t>
  </si>
  <si>
    <t>КГУ "Титовская начальная  школа отдела образования Атбасарского района"</t>
  </si>
  <si>
    <t>КГУ "Шуйская средняя школа отдела образования Атбасарского района"</t>
  </si>
  <si>
    <t>СВОД</t>
  </si>
  <si>
    <t>КГУ "Сергеевская средняя школа отдела образования Атбасарского района"</t>
  </si>
  <si>
    <t>КГУ "Сепеевская средняя школа отдела образования Атбасарского района"</t>
  </si>
  <si>
    <t>3.1. Административный персонал</t>
  </si>
  <si>
    <t>3.2. Основной персонал - учителя</t>
  </si>
  <si>
    <t>КГУ "Средняя школа  с Акана Курманова отдела образования Атбасарского района"</t>
  </si>
  <si>
    <t>КГУ "Магдалиновская начальная школа отдела образования Атбасарского района"</t>
  </si>
  <si>
    <t>по состоянию на "31"  декабря 2018г.</t>
  </si>
  <si>
    <t>по состоянию на "31 " декабря 2018 г.</t>
  </si>
  <si>
    <t>по состоянию на "31" декабря 2018 г.</t>
  </si>
  <si>
    <t>по состоянию на "31 "декабря 2018 г.</t>
  </si>
  <si>
    <t>по состоянию на  "31 "декабря 2018 г.</t>
  </si>
  <si>
    <t>по состоянию на "31 " декября 2018 г.</t>
  </si>
  <si>
    <t>по состоянию на "31 " декабря 2018г.</t>
  </si>
  <si>
    <t>по состоянию на "31"декабря 2018 г.</t>
  </si>
  <si>
    <t>по состоянию на "31" декабря 2018г.</t>
  </si>
  <si>
    <t>по состоянию на " 31 " декабря 2018г.</t>
  </si>
  <si>
    <t xml:space="preserve"> </t>
  </si>
  <si>
    <t xml:space="preserve"> 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</si>
</sst>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164" fontId="2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E13" sqref="E13"/>
    </sheetView>
  </sheetViews>
  <sheetFormatPr defaultColWidth="9.140625" defaultRowHeight="20.25"/>
  <cols>
    <col min="1" max="1" width="67.85546875" style="2" customWidth="1"/>
    <col min="2" max="2" width="9.140625" style="3"/>
    <col min="3" max="3" width="15.42578125" style="37" customWidth="1"/>
    <col min="4" max="4" width="16" style="37" customWidth="1"/>
    <col min="5" max="5" width="14.42578125" style="37" customWidth="1"/>
    <col min="6" max="7" width="12" style="2" customWidth="1"/>
    <col min="8" max="16384" width="9.140625" style="2"/>
  </cols>
  <sheetData>
    <row r="1" spans="1:5">
      <c r="A1" s="43" t="s">
        <v>15</v>
      </c>
      <c r="B1" s="43"/>
      <c r="C1" s="43"/>
      <c r="D1" s="43"/>
      <c r="E1" s="43"/>
    </row>
    <row r="2" spans="1:5">
      <c r="A2" s="43" t="s">
        <v>67</v>
      </c>
      <c r="B2" s="43"/>
      <c r="C2" s="43"/>
      <c r="D2" s="43"/>
      <c r="E2" s="43"/>
    </row>
    <row r="3" spans="1:5">
      <c r="A3" s="1"/>
    </row>
    <row r="4" spans="1:5">
      <c r="A4" s="44" t="s">
        <v>59</v>
      </c>
      <c r="B4" s="44"/>
      <c r="C4" s="44"/>
      <c r="D4" s="44"/>
      <c r="E4" s="44"/>
    </row>
    <row r="5" spans="1:5" ht="15.75" customHeight="1">
      <c r="A5" s="45" t="s">
        <v>17</v>
      </c>
      <c r="B5" s="45"/>
      <c r="C5" s="45"/>
      <c r="D5" s="45"/>
      <c r="E5" s="45"/>
    </row>
    <row r="6" spans="1:5">
      <c r="A6" s="4"/>
    </row>
    <row r="7" spans="1:5">
      <c r="A7" s="13" t="s">
        <v>18</v>
      </c>
    </row>
    <row r="8" spans="1:5">
      <c r="A8" s="1"/>
    </row>
    <row r="9" spans="1:5">
      <c r="A9" s="46" t="s">
        <v>29</v>
      </c>
      <c r="B9" s="47" t="s">
        <v>19</v>
      </c>
      <c r="C9" s="48" t="s">
        <v>16</v>
      </c>
      <c r="D9" s="48"/>
      <c r="E9" s="48"/>
    </row>
    <row r="10" spans="1:5" ht="40.5">
      <c r="A10" s="46"/>
      <c r="B10" s="47"/>
      <c r="C10" s="38" t="s">
        <v>20</v>
      </c>
      <c r="D10" s="38" t="s">
        <v>21</v>
      </c>
      <c r="E10" s="39" t="s">
        <v>14</v>
      </c>
    </row>
    <row r="11" spans="1:5">
      <c r="A11" s="5" t="s">
        <v>22</v>
      </c>
      <c r="B11" s="6" t="s">
        <v>10</v>
      </c>
      <c r="C11" s="40">
        <f>'СШ №1'!C11+'СШ №2'!C11+'СШ №3'!C11+'СШ №4'!C11+'СШ №5'!C11+'СШ №6'!C11+'СШ №7'!C11+'сш №8'!C11+'Адыр ош'!C11+'борис сш'!C11+бесх!C11+есенг!C11+марКсш!C11+'мар СШ'!C11+магд!C11+новос!C11+'ново-мар'!C11+'акана курманова'!C11+бастау1!C11+'бастау2)'!C11+попв!C11+покр!C11+полт!C11+радион!C11+соч!C11+серг!C11+сепе!C11+сам.ош!C11+сад.ош!C11+тимаш!C11+тельм!C11+титов!C11+шуйск!C11</f>
        <v>7702</v>
      </c>
      <c r="D11" s="40">
        <f>'СШ №1'!D11+'СШ №2'!D11+'СШ №3'!D11+'СШ №4'!D11+'СШ №5'!D11+'СШ №6'!D11+'СШ №7'!D11+'сш №8'!D11+'Адыр ош'!D11+'борис сш'!D11+бесх!D11+есенг!D11+марКсш!D11+'мар СШ'!D11+магд!D11+новос!D11+'ново-мар'!D11+'акана курманова'!D11+бастау1!D11+'бастау2)'!D11+попв!D11+покр!D11+полт!D11+радион!D11+соч!D11+серг!D11+сепе!D11+сам.ош!D11+сад.ош!D11+тимаш!D11+тельм!D11+титов!D11+шуйск!D11</f>
        <v>7702</v>
      </c>
      <c r="E11" s="40">
        <f>'СШ №1'!E11+'СШ №2'!E11+'СШ №3'!E11+'СШ №4'!E11+'СШ №5'!E11+'СШ №6'!E11+'СШ №7'!E11+'сш №8'!E11+'Адыр ош'!E11+'борис сш'!E11+бесх!E11+есенг!E11+марКсш!E11+'мар СШ'!E11+магд!E11+новос!E11+'ново-мар'!E11+'акана курманова'!E11+бастау1!E11+'бастау2)'!E11+попв!E11+покр!E11+полт!E11+радион!E11+соч!E11+серг!E11+сепе!E11+сам.ош!E11+сад.ош!E11+тимаш!E11+тельм!E11+титов!E11+шуйск!E11</f>
        <v>7702</v>
      </c>
    </row>
    <row r="12" spans="1:5" ht="25.5">
      <c r="A12" s="10" t="s">
        <v>25</v>
      </c>
      <c r="B12" s="6" t="s">
        <v>2</v>
      </c>
      <c r="C12" s="40">
        <f>'СШ №1'!C12+'СШ №2'!C12+'СШ №3'!C12+'СШ №4'!C12+'СШ №5'!C12+'СШ №6'!C12+'СШ №7'!C12+'сш №8'!C12+'Адыр ош'!C12+'борис сш'!C12+бесх!C12+есенг!C12+марКсш!C12+'мар СШ'!C12+магд!C12+новос!C12+'ново-мар'!C12+'акана курманова'!C12+бастау1!C12+'бастау2)'!C12+попв!C12+покр!C12+полт!C12+радион!C12+соч!C12+серг!C12+сепе!C12+сам.ош!C12+сад.ош!C12+тимаш!C12+тельм!C12+титов!C12+шуйск!C12</f>
        <v>13865.727824854735</v>
      </c>
      <c r="D12" s="40">
        <f>'СШ №1'!D12+'СШ №2'!D12+'СШ №3'!D12+'СШ №4'!D12+'СШ №5'!D12+'СШ №6'!D12+'СШ №7'!D12+'сш №8'!D12+'Адыр ош'!D12+'борис сш'!D12+бесх!D12+есенг!D12+марКсш!D12+'мар СШ'!D12+магд!D12+новос!D12+'ново-мар'!D12+'акана курманова'!D12+бастау1!D12+'бастау2)'!D12+попв!D12+покр!D12+полт!D12+радион!D12+соч!D12+серг!D12+сепе!D12+сам.ош!D12+сад.ош!D12+тимаш!D12+тельм!D12+титов!D12+шуйск!D12</f>
        <v>13865.727824854735</v>
      </c>
      <c r="E12" s="40">
        <f>'СШ №1'!E12+'СШ №2'!E12+'СШ №3'!E12+'СШ №4'!E12+'СШ №5'!E12+'СШ №6'!E12+'СШ №7'!E12+'сш №8'!E12+'Адыр ош'!E12+'борис сш'!E12+бесх!E12+есенг!E12+марКсш!E12+'мар СШ'!E12+магд!E12+новос!E12+'ново-мар'!E12+'акана курманова'!E12+бастау1!E12+'бастау2)'!E12+попв!E12+покр!E12+полт!E12+радион!E12+соч!E12+серг!E12+сепе!E12+сам.ош!E12+сад.ош!E12+тимаш!E12+тельм!E12+титов!E12+шуйск!E12</f>
        <v>16659.6947942236</v>
      </c>
    </row>
    <row r="13" spans="1:5" ht="25.5">
      <c r="A13" s="5" t="s">
        <v>11</v>
      </c>
      <c r="B13" s="6" t="s">
        <v>2</v>
      </c>
      <c r="C13" s="40">
        <f>'СШ №1'!C13+'СШ №2'!C13+'СШ №3'!C13+'СШ №4'!C13+'СШ №5'!C13+'СШ №6'!C13+'СШ №7'!C13+'сш №8'!C13+'Адыр ош'!C13+'борис сш'!C13+бесх!C13+есенг!C13+марКсш!C13+'мар СШ'!C13+магд!C13+новос!C13+'ново-мар'!C13+'акана курманова'!C13+бастау1!C13+'бастау2)'!C13+попв!C13+покр!C13+полт!C13+радион!C13+соч!C13+серг!C13+сепе!C13+сам.ош!C13+сад.ош!C13+тимаш!C13+тельм!C13+титов!C13+шуйск!C13</f>
        <v>2107395.7999999998</v>
      </c>
      <c r="D13" s="40">
        <f>'СШ №1'!D13+'СШ №2'!D13+'СШ №3'!D13+'СШ №4'!D13+'СШ №5'!D13+'СШ №6'!D13+'СШ №7'!D13+'сш №8'!D13+'Адыр ош'!D13+'борис сш'!D13+бесх!D13+есенг!D13+марКсш!D13+'мар СШ'!D13+магд!D13+новос!D13+'ново-мар'!D13+'акана курманова'!D13+бастау1!D13+'бастау2)'!D13+попв!D13+покр!D13+полт!D13+радион!D13+соч!D13+серг!D13+сепе!D13+сам.ош!D13+сад.ош!D13+тимаш!D13+тельм!D13+титов!D13+шуйск!D13</f>
        <v>2107395.7999999998</v>
      </c>
      <c r="E13" s="40">
        <f>'СШ №1'!E13+'СШ №2'!E13+'СШ №3'!E13+'СШ №4'!E13+'СШ №5'!E13+'СШ №6'!E13+'СШ №7'!E13+'сш №8'!E13+'Адыр ош'!E13+'борис сш'!E13+бесх!E13+есенг!E13+марКсш!E13+'мар СШ'!E13+магд!E13+новос!E13+'ново-мар'!E13+'акана курманова'!E13+бастау1!E13+'бастау2)'!E13+попв!E13+покр!E13+полт!E13+радион!E13+соч!E13+серг!E13+сепе!E13+сам.ош!E13+сад.ош!E13+тимаш!E13+тельм!E13+титов!E13+шуйск!E13</f>
        <v>2485317.4900000002</v>
      </c>
    </row>
    <row r="14" spans="1:5">
      <c r="A14" s="8" t="s">
        <v>0</v>
      </c>
      <c r="B14" s="9"/>
      <c r="C14" s="40">
        <f>'СШ №1'!C14+'СШ №2'!C14+'СШ №3'!C14+'СШ №4'!C14+'СШ №5'!C14+'СШ №6'!C14+'СШ №7'!C14+'сш №8'!C14+'Адыр ош'!C14+'борис сш'!C14+бесх!C14+есенг!C14+марКсш!C14+'мар СШ'!C14+магд!C14+новос!C14+'ново-мар'!C14+'акана курманова'!C14+бастау1!C14+'бастау2)'!C14+попв!C14+покр!C14+полт!C14+радион!C14+соч!C14+серг!C14+сепе!C14+сам.ош!C14+сад.ош!C14+тимаш!C14+тельм!C14+титов!C14+шуйск!C14</f>
        <v>0</v>
      </c>
      <c r="D14" s="40">
        <f>'СШ №1'!D14+'СШ №2'!D14+'СШ №3'!D14+'СШ №4'!D14+'СШ №5'!D14+'СШ №6'!D14+'СШ №7'!D14+'сш №8'!D14+'Адыр ош'!D14+'борис сш'!D14+бесх!D14+есенг!D14+марКсш!D14+'мар СШ'!D14+магд!D14+новос!D14+'ново-мар'!D14+'акана курманова'!D14+бастау1!D14+'бастау2)'!D14+попв!D14+покр!D14+полт!D14+радион!D14+соч!D14+серг!D14+сепе!D14+сам.ош!D14+сад.ош!D14+тимаш!D14+тельм!D14+титов!D14+шуйск!D14</f>
        <v>0</v>
      </c>
      <c r="E14" s="40">
        <f>'СШ №1'!E14+'СШ №2'!E14+'СШ №3'!E14+'СШ №4'!E14+'СШ №5'!E14+'СШ №6'!E14+'СШ №7'!E14+'сш №8'!E14+'Адыр ош'!E14+'борис сш'!E14+бесх!E14+есенг!E14+марКсш!E14+'мар СШ'!E14+магд!E14+новос!E14+'ново-мар'!E14+'акана курманова'!E14+бастау1!E14+'бастау2)'!E14+попв!E14+покр!E14+полт!E14+радион!E14+соч!E14+серг!E14+сепе!E14+сам.ош!E14+сад.ош!E14+тимаш!E14+тельм!E14+титов!E14+шуйск!E14</f>
        <v>0</v>
      </c>
    </row>
    <row r="15" spans="1:5" ht="25.5">
      <c r="A15" s="5" t="s">
        <v>12</v>
      </c>
      <c r="B15" s="6" t="s">
        <v>2</v>
      </c>
      <c r="C15" s="40">
        <f>'СШ №1'!C15+'СШ №2'!C15+'СШ №3'!C15+'СШ №4'!C15+'СШ №5'!C15+'СШ №6'!C15+'СШ №7'!C15+'сш №8'!C15+'Адыр ош'!C15+'борис сш'!C15+бесх!C15+есенг!C15+марКсш!C15+'мар СШ'!C15+магд!C15+новос!C15+'ново-мар'!C15+'акана курманова'!C15+бастау1!C15+'бастау2)'!C15+попв!C15+покр!C15+полт!C15+радион!C15+соч!C15+серг!C15+сепе!C15+сам.ош!C15+сад.ош!C15+тимаш!C15+тельм!C15+титов!C15+шуйск!C15</f>
        <v>1723174.6000000003</v>
      </c>
      <c r="D15" s="40">
        <f>'СШ №1'!D15+'СШ №2'!D15+'СШ №3'!D15+'СШ №4'!D15+'СШ №5'!D15+'СШ №6'!D15+'СШ №7'!D15+'сш №8'!D15+'Адыр ош'!D15+'борис сш'!D15+бесх!D15+есенг!D15+марКсш!D15+'мар СШ'!D15+магд!D15+новос!D15+'ново-мар'!D15+'акана курманова'!D15+бастау1!D15+'бастау2)'!D15+попв!D15+покр!D15+полт!D15+радион!D15+соч!D15+серг!D15+сепе!D15+сам.ош!D15+сад.ош!D15+тимаш!D15+тельм!D15+титов!D15+шуйск!D15</f>
        <v>1723174.6000000003</v>
      </c>
      <c r="E15" s="40">
        <f>'СШ №1'!E15+'СШ №2'!E15+'СШ №3'!E15+'СШ №4'!E15+'СШ №5'!E15+'СШ №6'!E15+'СШ №7'!E15+'сш №8'!E15+'Адыр ош'!E15+'борис сш'!E15+бесх!E15+есенг!E15+марКсш!E15+'мар СШ'!E15+магд!E15+новос!E15+'ново-мар'!E15+'акана курманова'!E15+бастау1!E15+'бастау2)'!E15+попв!E15+покр!E15+полт!E15+радион!E15+соч!E15+серг!E15+сепе!E15+сам.ош!E15+сад.ош!E15+тимаш!E15+тельм!E15+титов!E15+шуйск!E15</f>
        <v>1654818.76</v>
      </c>
    </row>
    <row r="16" spans="1:5">
      <c r="A16" s="8" t="s">
        <v>1</v>
      </c>
      <c r="B16" s="9"/>
      <c r="C16" s="40">
        <f>'СШ №1'!C16+'СШ №2'!C16+'СШ №3'!C16+'СШ №4'!C16+'СШ №5'!C16+'СШ №6'!C16+'СШ №7'!C16+'сш №8'!C16+'Адыр ош'!C16+'борис сш'!C16+бесх!C16+есенг!C16+марКсш!C16+'мар СШ'!C16+магд!C16+новос!C16+'ново-мар'!C16+'акана курманова'!C16+бастау1!C16+'бастау2)'!C16+попв!C16+покр!C16+полт!C16+радион!C16+соч!C16+серг!C16+сепе!C16+сам.ош!C16+сад.ош!C16+тимаш!C16+тельм!C16+титов!C16+шуйск!C16</f>
        <v>0</v>
      </c>
      <c r="D16" s="40">
        <f>'СШ №1'!D16+'СШ №2'!D16+'СШ №3'!D16+'СШ №4'!D16+'СШ №5'!D16+'СШ №6'!D16+'СШ №7'!D16+'сш №8'!D16+'Адыр ош'!D16+'борис сш'!D16+бесх!D16+есенг!D16+марКсш!D16+'мар СШ'!D16+магд!D16+новос!D16+'ново-мар'!D16+'акана курманова'!D16+бастау1!D16+'бастау2)'!D16+попв!D16+покр!D16+полт!D16+радион!D16+соч!D16+серг!D16+сепе!D16+сам.ош!D16+сад.ош!D16+тимаш!D16+тельм!D16+титов!D16+шуйск!D16</f>
        <v>0</v>
      </c>
      <c r="E16" s="40">
        <f>'СШ №1'!E16+'СШ №2'!E16+'СШ №3'!E16+'СШ №4'!E16+'СШ №5'!E16+'СШ №6'!E16+'СШ №7'!E16+'сш №8'!E16+'Адыр ош'!E16+'борис сш'!E16+бесх!E16+есенг!E16+марКсш!E16+'мар СШ'!E16+магд!E16+новос!E16+'ново-мар'!E16+'акана курманова'!E16+бастау1!E16+'бастау2)'!E16+попв!E16+покр!E16+полт!E16+радион!E16+соч!E16+серг!E16+сепе!E16+сам.ош!E16+сад.ош!E16+тимаш!E16+тельм!E16+титов!E16+шуйск!E16</f>
        <v>0</v>
      </c>
    </row>
    <row r="17" spans="1:6" ht="25.5">
      <c r="A17" s="7" t="s">
        <v>13</v>
      </c>
      <c r="B17" s="6" t="s">
        <v>2</v>
      </c>
      <c r="C17" s="40">
        <f>'СШ №1'!C17+'СШ №2'!C17+'СШ №3'!C17+'СШ №4'!C17+'СШ №5'!C17+'СШ №6'!C17+'СШ №7'!C17+'сш №8'!C17+'Адыр ош'!C17+'борис сш'!C17+бесх!C17+есенг!C17+марКсш!C17+'мар СШ'!C17+магд!C17+новос!C17+'ново-мар'!C17+'акана курманова'!C17+бастау1!C17+'бастау2)'!C17+попв!C17+покр!C17+полт!C17+радион!C17+соч!C17+серг!C17+сепе!C17+сам.ош!C17+сад.ош!C17+тимаш!C17+тельм!C17+титов!C17+шуйск!C17</f>
        <v>118456.76799999998</v>
      </c>
      <c r="D17" s="40">
        <f>'СШ №1'!D17+'СШ №2'!D17+'СШ №3'!D17+'СШ №4'!D17+'СШ №5'!D17+'СШ №6'!D17+'СШ №7'!D17+'сш №8'!D17+'Адыр ош'!D17+'борис сш'!D17+бесх!D17+есенг!D17+марКсш!D17+'мар СШ'!D17+магд!D17+новос!D17+'ново-мар'!D17+'акана курманова'!D17+бастау1!D17+'бастау2)'!D17+попв!D17+покр!D17+полт!D17+радион!D17+соч!D17+серг!D17+сепе!D17+сам.ош!D17+сад.ош!D17+тимаш!D17+тельм!D17+титов!D17+шуйск!D17</f>
        <v>118456.76799999998</v>
      </c>
      <c r="E17" s="40">
        <f>'СШ №1'!E17+'СШ №2'!E17+'СШ №3'!E17+'СШ №4'!E17+'СШ №5'!E17+'СШ №6'!E17+'СШ №7'!E17+'сш №8'!E17+'Адыр ош'!E17+'борис сш'!E17+бесх!E17+есенг!E17+марКсш!E17+'мар СШ'!E17+магд!E17+новос!E17+'ново-мар'!E17+'акана курманова'!E17+бастау1!E17+'бастау2)'!E17+попв!E17+покр!E17+полт!E17+радион!E17+соч!E17+серг!E17+сепе!E17+сам.ош!E17+сад.ош!E17+тимаш!E17+тельм!E17+титов!E17+шуйск!E17</f>
        <v>129120.09999999999</v>
      </c>
    </row>
    <row r="18" spans="1:6">
      <c r="A18" s="10" t="s">
        <v>4</v>
      </c>
      <c r="B18" s="11" t="s">
        <v>3</v>
      </c>
      <c r="C18" s="40">
        <f>'СШ №1'!C18+'СШ №2'!C18+'СШ №3'!C18+'СШ №4'!C18+'СШ №5'!C18+'СШ №6'!C18+'СШ №7'!C18+'сш №8'!C18+'Адыр ош'!C18+'борис сш'!C18+бесх!C18+есенг!C18+марКсш!C18+'мар СШ'!C18+магд!C18+новос!C18+'ново-мар'!C18+'акана курманова'!C18+бастау1!C18+'бастау2)'!C18+попв!C18+покр!C18+полт!C18+радион!C18+соч!C18+серг!C18+сепе!C18+сам.ош!C18+сад.ош!C18+тимаш!C18+тельм!C18+титов!C18+шуйск!C18</f>
        <v>101</v>
      </c>
      <c r="D18" s="40">
        <f>'СШ №1'!D18+'СШ №2'!D18+'СШ №3'!D18+'СШ №4'!D18+'СШ №5'!D18+'СШ №6'!D18+'СШ №7'!D18+'сш №8'!D18+'Адыр ош'!D18+'борис сш'!D18+бесх!D18+есенг!D18+марКсш!D18+'мар СШ'!D18+магд!D18+новос!D18+'ново-мар'!D18+'акана курманова'!D18+бастау1!D18+'бастау2)'!D18+попв!D18+покр!D18+полт!D18+радион!D18+соч!D18+серг!D18+сепе!D18+сам.ош!D18+сад.ош!D18+тимаш!D18+тельм!D18+титов!D18+шуйск!D18</f>
        <v>101</v>
      </c>
      <c r="E18" s="40">
        <f>'СШ №1'!E18+'СШ №2'!E18+'СШ №3'!E18+'СШ №4'!E18+'СШ №5'!E18+'СШ №6'!E18+'СШ №7'!E18+'сш №8'!E18+'Адыр ош'!E18+'борис сш'!E18+бесх!E18+есенг!E18+марКсш!E18+'мар СШ'!E18+магд!E18+новос!E18+'ново-мар'!E18+'акана курманова'!E18+бастау1!E18+'бастау2)'!E18+попв!E18+покр!E18+полт!E18+радион!E18+соч!E18+серг!E18+сепе!E18+сам.ош!E18+сад.ош!E18+тимаш!E18+тельм!E18+титов!E18+шуйск!E18</f>
        <v>100</v>
      </c>
    </row>
    <row r="19" spans="1:6" ht="21.95" customHeight="1">
      <c r="A19" s="10" t="s">
        <v>27</v>
      </c>
      <c r="B19" s="6" t="s">
        <v>28</v>
      </c>
      <c r="C19" s="40">
        <f>'СШ №1'!C19+'СШ №2'!C19+'СШ №3'!C19+'СШ №4'!C19+'СШ №5'!C19+'СШ №6'!C19+'СШ №7'!C19+'сш №8'!C19+'Адыр ош'!C19+'борис сш'!C19+бесх!C19+есенг!C19+марКсш!C19+'мар СШ'!C19+магд!C19+новос!C19+'ново-мар'!C19+'акана курманова'!C19+бастау1!C19+'бастау2)'!C19+попв!C19+покр!C19+полт!C19+радион!C19+соч!C19+серг!C19+сепе!C19+сам.ош!C19+сад.ош!C19+тимаш!C19+тельм!C19+титов!C19+шуйск!C19</f>
        <v>2969240.4960317449</v>
      </c>
      <c r="D19" s="40">
        <f>'СШ №1'!D19+'СШ №2'!D19+'СШ №3'!D19+'СШ №4'!D19+'СШ №5'!D19+'СШ №6'!D19+'СШ №7'!D19+'сш №8'!D19+'Адыр ош'!D19+'борис сш'!D19+бесх!D19+есенг!D19+марКсш!D19+'мар СШ'!D19+магд!D19+новос!D19+'ново-мар'!D19+'акана курманова'!D19+бастау1!D19+'бастау2)'!D19+попв!D19+покр!D19+полт!D19+радион!D19+соч!D19+серг!D19+сепе!D19+сам.ош!D19+сад.ош!D19+тимаш!D19+тельм!D19+титов!D19+шуйск!D19</f>
        <v>2969240.4958888879</v>
      </c>
      <c r="E19" s="40">
        <f>'СШ №1'!E19+'СШ №2'!E19+'СШ №3'!E19+'СШ №4'!E19+'СШ №5'!E19+'СШ №6'!E19+'СШ №7'!E19+'сш №8'!E19+'Адыр ош'!E19+'борис сш'!E19+бесх!E19+есенг!E19+марКсш!E19+'мар СШ'!E19+магд!E19+новос!E19+'ново-мар'!E19+'акана курманова'!E19+бастау1!E19+'бастау2)'!E19+попв!E19+покр!E19+полт!E19+радион!E19+соч!E19+серг!E19+сепе!E19+сам.ош!E19+сад.ош!E19+тимаш!E19+тельм!E19+титов!E19+шуйск!E19</f>
        <v>3283544.3320105826</v>
      </c>
    </row>
    <row r="20" spans="1:6" ht="25.5">
      <c r="A20" s="7" t="s">
        <v>23</v>
      </c>
      <c r="B20" s="6" t="s">
        <v>2</v>
      </c>
      <c r="C20" s="40">
        <f>'СШ №1'!C20+'СШ №2'!C20+'СШ №3'!C20+'СШ №4'!C20+'СШ №5'!C20+'СШ №6'!C20+'СШ №7'!C20+'сш №8'!C20+'Адыр ош'!C20+'борис сш'!C20+бесх!C20+есенг!C20+марКсш!C20+'мар СШ'!C20+магд!C20+новос!C20+'ново-мар'!C20+'акана курманова'!C20+бастау1!C20+'бастау2)'!C20+попв!C20+покр!C20+полт!C20+радион!C20+соч!C20+серг!C20+сепе!C20+сам.ош!C20+сад.ош!C20+тимаш!C20+тельм!C20+титов!C20+шуйск!C20</f>
        <v>1070749.7773559999</v>
      </c>
      <c r="D20" s="40">
        <f>'СШ №1'!D20+'СШ №2'!D20+'СШ №3'!D20+'СШ №4'!D20+'СШ №5'!D20+'СШ №6'!D20+'СШ №7'!D20+'сш №8'!D20+'Адыр ош'!D20+'борис сш'!D20+бесх!D20+есенг!D20+марКсш!D20+'мар СШ'!D20+магд!D20+новос!D20+'ново-мар'!D20+'акана курманова'!D20+бастау1!D20+'бастау2)'!D20+попв!D20+покр!D20+полт!D20+радион!D20+соч!D20+серг!D20+сепе!D20+сам.ош!D20+сад.ош!D20+тимаш!D20+тельм!D20+титов!D20+шуйск!D20</f>
        <v>1070749.7775559998</v>
      </c>
      <c r="E20" s="40">
        <f>'СШ №1'!E20+'СШ №2'!E20+'СШ №3'!E20+'СШ №4'!E20+'СШ №5'!E20+'СШ №6'!E20+'СШ №7'!E20+'сш №8'!E20+'Адыр ош'!E20+'борис сш'!E20+бесх!E20+есенг!E20+марКсш!E20+'мар СШ'!E20+магд!E20+новос!E20+'ново-мар'!E20+'акана курманова'!E20+бастау1!E20+'бастау2)'!E20+попв!E20+покр!E20+полт!E20+радион!E20+соч!E20+серг!E20+сепе!E20+сам.ош!E20+сад.ош!E20+тимаш!E20+тельм!E20+титов!E20+шуйск!E20</f>
        <v>1075495.6899999997</v>
      </c>
    </row>
    <row r="21" spans="1:6">
      <c r="A21" s="10" t="s">
        <v>4</v>
      </c>
      <c r="B21" s="11" t="s">
        <v>3</v>
      </c>
      <c r="C21" s="40">
        <f>'СШ №1'!C21+'СШ №2'!C21+'СШ №3'!C21+'СШ №4'!C21+'СШ №5'!C21+'СШ №6'!C21+'СШ №7'!C21+'сш №8'!C21+'Адыр ош'!C21+'борис сш'!C21+бесх!C21+есенг!C21+марКсш!C21+'мар СШ'!C21+магд!C21+новос!C21+'ново-мар'!C21+'акана курманова'!C21+бастау1!C21+'бастау2)'!C21+попв!C21+покр!C21+полт!C21+радион!C21+соч!C21+серг!C21+сепе!C21+сам.ош!C21+сад.ош!C21+тимаш!C21+тельм!C21+титов!C21+шуйск!C21</f>
        <v>934.7700000000001</v>
      </c>
      <c r="D21" s="40">
        <f>'СШ №1'!D21+'СШ №2'!D21+'СШ №3'!D21+'СШ №4'!D21+'СШ №5'!D21+'СШ №6'!D21+'СШ №7'!D21+'сш №8'!D21+'Адыр ош'!D21+'борис сш'!D21+бесх!D21+есенг!D21+марКсш!D21+'мар СШ'!D21+магд!D21+новос!D21+'ново-мар'!D21+'акана курманова'!D21+бастау1!D21+'бастау2)'!D21+попв!D21+покр!D21+полт!D21+радион!D21+соч!D21+серг!D21+сепе!D21+сам.ош!D21+сад.ош!D21+тимаш!D21+тельм!D21+титов!D21+шуйск!D21</f>
        <v>934.7700000000001</v>
      </c>
      <c r="E21" s="40">
        <f>'СШ №1'!E21+'СШ №2'!E21+'СШ №3'!E21+'СШ №4'!E21+'СШ №5'!E21+'СШ №6'!E21+'СШ №7'!E21+'сш №8'!E21+'Адыр ош'!E21+'борис сш'!E21+бесх!E21+есенг!E21+марКсш!E21+'мар СШ'!E21+магд!E21+новос!E21+'ново-мар'!E21+'акана курманова'!E21+бастау1!E21+'бастау2)'!E21+попв!E21+покр!E21+полт!E21+радион!E21+соч!E21+серг!E21+сепе!E21+сам.ош!E21+сад.ош!E21+тимаш!E21+тельм!E21+титов!E21+шуйск!E21</f>
        <v>934.6500000000002</v>
      </c>
    </row>
    <row r="22" spans="1:6" ht="21.95" customHeight="1">
      <c r="A22" s="10" t="s">
        <v>27</v>
      </c>
      <c r="B22" s="6" t="s">
        <v>28</v>
      </c>
      <c r="C22" s="40">
        <f>'СШ №1'!C22+'СШ №2'!C22+'СШ №3'!C22+'СШ №4'!C22+'СШ №5'!C22+'СШ №6'!C22+'СШ №7'!C22+'сш №8'!C22+'Адыр ош'!C22+'борис сш'!C22+бесх!C22+есенг!C22+марКсш!C22+'мар СШ'!C22+магд!C22+новос!C22+'ново-мар'!C22+'акана курманова'!C22+бастау1!C22+'бастау2)'!C22+попв!C22+покр!C22+полт!C22+радион!C22+соч!C22+серг!C22+сепе!C22+сам.ош!C22+сад.ош!C22+тимаш!C22+тельм!C22+титов!C22+шуйск!C22</f>
        <v>3233122.0963434358</v>
      </c>
      <c r="D22" s="40">
        <f>'СШ №1'!D22+'СШ №2'!D22+'СШ №3'!D22+'СШ №4'!D22+'СШ №5'!D22+'СШ №6'!D22+'СШ №7'!D22+'сш №8'!D22+'Адыр ош'!D22+'борис сш'!D22+бесх!D22+есенг!D22+марКсш!D22+'мар СШ'!D22+магд!D22+новос!D22+'ново-мар'!D22+'акана курманова'!D22+бастау1!D22+'бастау2)'!D22+попв!D22+покр!D22+полт!D22+радион!D22+соч!D22+серг!D22+сепе!D22+сам.ош!D22+сад.ош!D22+тимаш!D22+тельм!D22+титов!D22+шуйск!D22</f>
        <v>3233122.0965068345</v>
      </c>
      <c r="E22" s="40">
        <f>'СШ №1'!E22+'СШ №2'!E22+'СШ №3'!E22+'СШ №4'!E22+'СШ №5'!E22+'СШ №6'!E22+'СШ №7'!E22+'сш №8'!E22+'Адыр ош'!E22+'борис сш'!E22+бесх!E22+есенг!E22+марКсш!E22+'мар СШ'!E22+магд!E22+новос!E22+'ново-мар'!E22+'акана курманова'!E22+бастау1!E22+'бастау2)'!E22+попв!E22+покр!E22+полт!E22+радион!E22+соч!E22+серг!E22+сепе!E22+сам.ош!E22+сад.ош!E22+тимаш!E22+тельм!E22+титов!E22+шуйск!E22</f>
        <v>3243536.0292162756</v>
      </c>
    </row>
    <row r="23" spans="1:6" ht="39">
      <c r="A23" s="14" t="s">
        <v>26</v>
      </c>
      <c r="B23" s="6" t="s">
        <v>2</v>
      </c>
      <c r="C23" s="40">
        <f>'СШ №1'!C23+'СШ №2'!C23+'СШ №3'!C23+'СШ №4'!C23+'СШ №5'!C23+'СШ №6'!C23+'СШ №7'!C23+'сш №8'!C23+'Адыр ош'!C23+'борис сш'!C23+бесх!C23+есенг!C23+марКсш!C23+'мар СШ'!C23+магд!C23+новос!C23+'ново-мар'!C23+'акана курманова'!C23+бастау1!C23+'бастау2)'!C23+попв!C23+покр!C23+полт!C23+радион!C23+соч!C23+серг!C23+сепе!C23+сам.ош!C23+сад.ош!C23+тимаш!C23+тельм!C23+титов!C23+шуйск!C23</f>
        <v>104257.20600000003</v>
      </c>
      <c r="D23" s="40">
        <f>'СШ №1'!D23+'СШ №2'!D23+'СШ №3'!D23+'СШ №4'!D23+'СШ №5'!D23+'СШ №6'!D23+'СШ №7'!D23+'сш №8'!D23+'Адыр ош'!D23+'борис сш'!D23+бесх!D23+есенг!D23+марКсш!D23+'мар СШ'!D23+магд!D23+новос!D23+'ново-мар'!D23+'акана курманова'!D23+бастау1!D23+'бастау2)'!D23+попв!D23+покр!D23+полт!D23+радион!D23+соч!D23+серг!D23+сепе!D23+сам.ош!D23+сад.ош!D23+тимаш!D23+тельм!D23+титов!D23+шуйск!D23</f>
        <v>104257.20600000003</v>
      </c>
      <c r="E23" s="40">
        <f>'СШ №1'!E23+'СШ №2'!E23+'СШ №3'!E23+'СШ №4'!E23+'СШ №5'!E23+'СШ №6'!E23+'СШ №7'!E23+'сш №8'!E23+'Адыр ош'!E23+'борис сш'!E23+бесх!E23+есенг!E23+марКсш!E23+'мар СШ'!E23+магд!E23+новос!E23+'ново-мар'!E23+'акана курманова'!E23+бастау1!E23+'бастау2)'!E23+попв!E23+покр!E23+полт!E23+радион!E23+соч!E23+серг!E23+сепе!E23+сам.ош!E23+сад.ош!E23+тимаш!E23+тельм!E23+титов!E23+шуйск!E23</f>
        <v>118931.33</v>
      </c>
    </row>
    <row r="24" spans="1:6">
      <c r="A24" s="10" t="s">
        <v>4</v>
      </c>
      <c r="B24" s="11" t="s">
        <v>3</v>
      </c>
      <c r="C24" s="40">
        <f>'СШ №1'!C24+'СШ №2'!C24+'СШ №3'!C24+'СШ №4'!C24+'СШ №5'!C24+'СШ №6'!C24+'СШ №7'!C24+'сш №8'!C24+'Адыр ош'!C24+'борис сш'!C24+бесх!C24+есенг!C24+марКсш!C24+'мар СШ'!C24+магд!C24+новос!C24+'ново-мар'!C24+'акана курманова'!C24+бастау1!C24+'бастау2)'!C24+попв!C24+покр!C24+полт!C24+радион!C24+соч!C24+серг!C24+сепе!C24+сам.ош!C24+сад.ош!C24+тимаш!C24+тельм!C24+титов!C24+шуйск!C24</f>
        <v>112</v>
      </c>
      <c r="D24" s="40">
        <f>'СШ №1'!D24+'СШ №2'!D24+'СШ №3'!D24+'СШ №4'!D24+'СШ №5'!D24+'СШ №6'!D24+'СШ №7'!D24+'сш №8'!D24+'Адыр ош'!D24+'борис сш'!D24+бесх!D24+есенг!D24+марКсш!D24+'мар СШ'!D24+магд!D24+новос!D24+'ново-мар'!D24+'акана курманова'!D24+бастау1!D24+'бастау2)'!D24+попв!D24+покр!D24+полт!D24+радион!D24+соч!D24+серг!D24+сепе!D24+сам.ош!D24+сад.ош!D24+тимаш!D24+тельм!D24+титов!D24+шуйск!D24</f>
        <v>112</v>
      </c>
      <c r="E24" s="40">
        <f>'СШ №1'!E24+'СШ №2'!E24+'СШ №3'!E24+'СШ №4'!E24+'СШ №5'!E24+'СШ №6'!E24+'СШ №7'!E24+'сш №8'!E24+'Адыр ош'!E24+'борис сш'!E24+бесх!E24+есенг!E24+марКсш!E24+'мар СШ'!E24+магд!E24+новос!E24+'ново-мар'!E24+'акана курманова'!E24+бастау1!E24+'бастау2)'!E24+попв!E24+покр!E24+полт!E24+радион!E24+соч!E24+серг!E24+сепе!E24+сам.ош!E24+сад.ош!E24+тимаш!E24+тельм!E24+титов!E24+шуйск!E24</f>
        <v>124.5</v>
      </c>
    </row>
    <row r="25" spans="1:6" ht="21.95" customHeight="1">
      <c r="A25" s="10" t="s">
        <v>27</v>
      </c>
      <c r="B25" s="6" t="s">
        <v>28</v>
      </c>
      <c r="C25" s="40">
        <f>'СШ №1'!C25+'СШ №2'!C25+'СШ №3'!C25+'СШ №4'!C25+'СШ №5'!C25+'СШ №6'!C25+'СШ №7'!C25+'сш №8'!C25+'Адыр ош'!C25+'борис сш'!C25+бесх!C25+есенг!C25+марКсш!C25+'мар СШ'!C25+магд!C25+новос!C25+'ново-мар'!C25+'акана курманова'!C25+бастау1!C25+'бастау2)'!C25+попв!C25+покр!C25+полт!C25+радион!C25+соч!C25+серг!C25+сепе!C25+сам.ош!C25+сад.ош!C25+тимаш!C25+тельм!C25+титов!C25+шуйск!C25</f>
        <v>2316589.9190863334</v>
      </c>
      <c r="D25" s="40">
        <f>'СШ №1'!D25+'СШ №2'!D25+'СШ №3'!D25+'СШ №4'!D25+'СШ №5'!D25+'СШ №6'!D25+'СШ №7'!D25+'сш №8'!D25+'Адыр ош'!D25+'борис сш'!D25+бесх!D25+есенг!D25+марКсш!D25+'мар СШ'!D25+магд!D25+новос!D25+'ново-мар'!D25+'акана курманова'!D25+бастау1!D25+'бастау2)'!D25+попв!D25+покр!D25+полт!D25+радион!D25+соч!D25+серг!D25+сепе!D25+сам.ош!D25+сад.ош!D25+тимаш!D25+тельм!D25+титов!D25+шуйск!D25</f>
        <v>2316589.9190863334</v>
      </c>
      <c r="E25" s="40">
        <f>'СШ №1'!E25+'СШ №2'!E25+'СШ №3'!E25+'СШ №4'!E25+'СШ №5'!E25+'СШ №6'!E25+'СШ №7'!E25+'сш №8'!E25+'Адыр ош'!E25+'борис сш'!E25+бесх!E25+есенг!E25+марКсш!E25+'мар СШ'!E25+магд!E25+новос!E25+'ново-мар'!E25+'акана курманова'!E25+бастау1!E25+'бастау2)'!E25+попв!E25+покр!E25+полт!E25+радион!E25+соч!E25+серг!E25+сепе!E25+сам.ош!E25+сад.ош!E25+тимаш!E25+тельм!E25+титов!E25+шуйск!E25</f>
        <v>2511052.4536594641</v>
      </c>
    </row>
    <row r="26" spans="1:6" ht="25.5">
      <c r="A26" s="7" t="s">
        <v>24</v>
      </c>
      <c r="B26" s="6" t="s">
        <v>2</v>
      </c>
      <c r="C26" s="40">
        <f>'СШ №1'!C26+'СШ №2'!C26+'СШ №3'!C26+'СШ №4'!C26+'СШ №5'!C26+'СШ №6'!C26+'СШ №7'!C26+'сш №8'!C26+'Адыр ош'!C26+'борис сш'!C26+бесх!C26+есенг!C26+марКсш!C26+'мар СШ'!C26+магд!C26+новос!C26+'ново-мар'!C26+'акана курманова'!C26+бастау1!C26+'бастау2)'!C26+попв!C26+покр!C26+полт!C26+радион!C26+соч!C26+серг!C26+сепе!C26+сам.ош!C26+сад.ош!C26+тимаш!C26+тельм!C26+титов!C26+шуйск!C26</f>
        <v>267563.09999999998</v>
      </c>
      <c r="D26" s="40">
        <f>'СШ №1'!D26+'СШ №2'!D26+'СШ №3'!D26+'СШ №4'!D26+'СШ №5'!D26+'СШ №6'!D26+'СШ №7'!D26+'сш №8'!D26+'Адыр ош'!D26+'борис сш'!D26+бесх!D26+есенг!D26+марКсш!D26+'мар СШ'!D26+магд!D26+новос!D26+'ново-мар'!D26+'акана курманова'!D26+бастау1!D26+'бастау2)'!D26+попв!D26+покр!D26+полт!D26+радион!D26+соч!D26+серг!D26+сепе!D26+сам.ош!D26+сад.ош!D26+тимаш!D26+тельм!D26+титов!D26+шуйск!D26</f>
        <v>267563.09999999998</v>
      </c>
      <c r="E26" s="40">
        <f>'СШ №1'!E26+'СШ №2'!E26+'СШ №3'!E26+'СШ №4'!E26+'СШ №5'!E26+'СШ №6'!E26+'СШ №7'!E26+'сш №8'!E26+'Адыр ош'!E26+'борис сш'!E26+бесх!E26+есенг!E26+марКсш!E26+'мар СШ'!E26+магд!E26+новос!E26+'ново-мар'!E26+'акана курманова'!E26+бастау1!E26+'бастау2)'!E26+попв!E26+покр!E26+полт!E26+радион!E26+соч!E26+серг!E26+сепе!E26+сам.ош!E26+сад.ош!E26+тимаш!E26+тельм!E26+титов!E26+шуйск!E26</f>
        <v>335486.44000000006</v>
      </c>
    </row>
    <row r="27" spans="1:6">
      <c r="A27" s="10" t="s">
        <v>4</v>
      </c>
      <c r="B27" s="11" t="s">
        <v>3</v>
      </c>
      <c r="C27" s="40">
        <f>'СШ №1'!C27+'СШ №2'!C27+'СШ №3'!C27+'СШ №4'!C27+'СШ №5'!C27+'СШ №6'!C27+'СШ №7'!C27+'сш №8'!C27+'Адыр ош'!C27+'борис сш'!C27+бесх!C27+есенг!C27+марКсш!C27+'мар СШ'!C27+магд!C27+новос!C27+'ново-мар'!C27+'акана курманова'!C27+бастау1!C27+'бастау2)'!C27+попв!C27+покр!C27+полт!C27+радион!C27+соч!C27+серг!C27+сепе!C27+сам.ош!C27+сад.ош!C27+тимаш!C27+тельм!C27+титов!C27+шуйск!C27</f>
        <v>473.90000000000003</v>
      </c>
      <c r="D27" s="40">
        <f>'СШ №1'!D27+'СШ №2'!D27+'СШ №3'!D27+'СШ №4'!D27+'СШ №5'!D27+'СШ №6'!D27+'СШ №7'!D27+'сш №8'!D27+'Адыр ош'!D27+'борис сш'!D27+бесх!D27+есенг!D27+марКсш!D27+'мар СШ'!D27+магд!D27+новос!D27+'ново-мар'!D27+'акана курманова'!D27+бастау1!D27+'бастау2)'!D27+попв!D27+покр!D27+полт!D27+радион!D27+соч!D27+серг!D27+сепе!D27+сам.ош!D27+сад.ош!D27+тимаш!D27+тельм!D27+титов!D27+шуйск!D27</f>
        <v>473.90000000000003</v>
      </c>
      <c r="E27" s="40">
        <f>'СШ №1'!E27+'СШ №2'!E27+'СШ №3'!E27+'СШ №4'!E27+'СШ №5'!E27+'СШ №6'!E27+'СШ №7'!E27+'сш №8'!E27+'Адыр ош'!E27+'борис сш'!E27+бесх!E27+есенг!E27+марКсш!E27+'мар СШ'!E27+магд!E27+новос!E27+'ново-мар'!E27+'акана курманова'!E27+бастау1!E27+'бастау2)'!E27+попв!E27+покр!E27+полт!E27+радион!E27+соч!E27+серг!E27+сепе!E27+сам.ош!E27+сад.ош!E27+тимаш!E27+тельм!E27+титов!E27+шуйск!E27</f>
        <v>582.0100000000001</v>
      </c>
    </row>
    <row r="28" spans="1:6" ht="21.95" customHeight="1">
      <c r="A28" s="10" t="s">
        <v>27</v>
      </c>
      <c r="B28" s="6" t="s">
        <v>28</v>
      </c>
      <c r="C28" s="40">
        <f>'СШ №1'!C28+'СШ №2'!C28+'СШ №3'!C28+'СШ №4'!C28+'СШ №5'!C28+'СШ №6'!C28+'СШ №7'!C28+'сш №8'!C28+'Адыр ош'!C28+'борис сш'!C28+бесх!C28+есенг!C28+марКсш!C28+'мар СШ'!C28+магд!C28+новос!C28+'ново-мар'!C28+'акана курманова'!C28+бастау1!C28+'бастау2)'!C28+попв!C28+покр!C28+полт!C28+радион!C28+соч!C28+серг!C28+сепе!C28+сам.ош!C28+сад.ош!C28+тимаш!C28+тельм!C28+титов!C28+шуйск!C28</f>
        <v>1532332.9492034279</v>
      </c>
      <c r="D28" s="40">
        <f>'СШ №1'!D28+'СШ №2'!D28+'СШ №3'!D28+'СШ №4'!D28+'СШ №5'!D28+'СШ №6'!D28+'СШ №7'!D28+'сш №8'!D28+'Адыр ош'!D28+'борис сш'!D28+бесх!D28+есенг!D28+марКсш!D28+'мар СШ'!D28+магд!D28+новос!D28+'ново-мар'!D28+'акана курманова'!D28+бастау1!D28+'бастау2)'!D28+попв!D28+покр!D28+полт!D28+радион!D28+соч!D28+серг!D28+сепе!D28+сам.ош!D28+сад.ош!D28+тимаш!D28+тельм!D28+титов!D28+шуйск!D28</f>
        <v>1532332.9492034279</v>
      </c>
      <c r="E28" s="40">
        <f>'СШ №1'!E28+'СШ №2'!E28+'СШ №3'!E28+'СШ №4'!E28+'СШ №5'!E28+'СШ №6'!E28+'СШ №7'!E28+'сш №8'!E28+'Адыр ош'!E28+'борис сш'!E28+бесх!E28+есенг!E28+марКсш!E28+'мар СШ'!E28+магд!E28+новос!E28+'ново-мар'!E28+'акана курманова'!E28+бастау1!E28+'бастау2)'!E28+попв!E28+покр!E28+полт!E28+радион!E28+соч!E28+серг!E28+сепе!E28+сам.ош!E28+сад.ош!E28+тимаш!E28+тельм!E28+титов!E28+шуйск!E28</f>
        <v>1571333.6549617155</v>
      </c>
    </row>
    <row r="29" spans="1:6" ht="25.5">
      <c r="A29" s="5" t="s">
        <v>5</v>
      </c>
      <c r="B29" s="6" t="s">
        <v>2</v>
      </c>
      <c r="C29" s="40">
        <f>'СШ №1'!C29+'СШ №2'!C29+'СШ №3'!C29+'СШ №4'!C29+'СШ №5'!C29+'СШ №6'!C29+'СШ №7'!C29+'сш №8'!C29+'Адыр ош'!C29+'борис сш'!C29+бесх!C29+есенг!C29+марКсш!C29+'мар СШ'!C29+магд!C29+новос!C29+'ново-мар'!C29+'акана курманова'!C29+бастау1!C29+'бастау2)'!C29+попв!C29+покр!C29+полт!C29+радион!C29+соч!C29+серг!C29+сепе!C29+сам.ош!C29+сад.ош!C29+тимаш!C29+тельм!C29+титов!C29+шуйск!C29</f>
        <v>151956.70000000001</v>
      </c>
      <c r="D29" s="40">
        <f>'СШ №1'!D29+'СШ №2'!D29+'СШ №3'!D29+'СШ №4'!D29+'СШ №5'!D29+'СШ №6'!D29+'СШ №7'!D29+'сш №8'!D29+'Адыр ош'!D29+'борис сш'!D29+бесх!D29+есенг!D29+марКсш!D29+'мар СШ'!D29+магд!D29+новос!D29+'ново-мар'!D29+'акана курманова'!D29+бастау1!D29+'бастау2)'!D29+попв!D29+покр!D29+полт!D29+радион!D29+соч!D29+серг!D29+сепе!D29+сам.ош!D29+сад.ош!D29+тимаш!D29+тельм!D29+титов!D29+шуйск!D29</f>
        <v>151956.70000000001</v>
      </c>
      <c r="E29" s="40">
        <f>'СШ №1'!E29+'СШ №2'!E29+'СШ №3'!E29+'СШ №4'!E29+'СШ №5'!E29+'СШ №6'!E29+'СШ №7'!E29+'сш №8'!E29+'Адыр ош'!E29+'борис сш'!E29+бесх!E29+есенг!E29+марКсш!E29+'мар СШ'!E29+магд!E29+новос!E29+'ново-мар'!E29+'акана курманова'!E29+бастау1!E29+'бастау2)'!E29+попв!E29+покр!E29+полт!E29+радион!E29+соч!E29+серг!E29+сепе!E29+сам.ош!E29+сад.ош!E29+тимаш!E29+тельм!E29+титов!E29+шуйск!E29</f>
        <v>177178.2</v>
      </c>
      <c r="F29" s="23"/>
    </row>
    <row r="30" spans="1:6" ht="36.75">
      <c r="A30" s="12" t="s">
        <v>6</v>
      </c>
      <c r="B30" s="6" t="s">
        <v>2</v>
      </c>
      <c r="C30" s="40">
        <f>'СШ №1'!C30+'СШ №2'!C30+'СШ №3'!C30+'СШ №4'!C30+'СШ №5'!C30+'СШ №6'!C30+'СШ №7'!C30+'сш №8'!C30+'Адыр ош'!C30+'борис сш'!C30+бесх!C30+есенг!C30+марКсш!C30+'мар СШ'!C30+магд!C30+новос!C30+'ново-мар'!C30+'акана курманова'!C30+бастау1!C30+'бастау2)'!C30+попв!C30+покр!C30+полт!C30+радион!C30+соч!C30+серг!C30+сепе!C30+сам.ош!C30+сад.ош!C30+тимаш!C30+тельм!C30+титов!C30+шуйск!C30</f>
        <v>99824.000000000015</v>
      </c>
      <c r="D30" s="40">
        <f>'СШ №1'!D30+'СШ №2'!D30+'СШ №3'!D30+'СШ №4'!D30+'СШ №5'!D30+'СШ №6'!D30+'СШ №7'!D30+'сш №8'!D30+'Адыр ош'!D30+'борис сш'!D30+бесх!D30+есенг!D30+марКсш!D30+'мар СШ'!D30+магд!D30+новос!D30+'ново-мар'!D30+'акана курманова'!D30+бастау1!D30+'бастау2)'!D30+попв!D30+покр!D30+полт!D30+радион!D30+соч!D30+серг!D30+сепе!D30+сам.ош!D30+сад.ош!D30+тимаш!D30+тельм!D30+титов!D30+шуйск!D30</f>
        <v>99824.000000000015</v>
      </c>
      <c r="E30" s="40">
        <f>'СШ №1'!E30+'СШ №2'!E30+'СШ №3'!E30+'СШ №4'!E30+'СШ №5'!E30+'СШ №6'!E30+'СШ №7'!E30+'сш №8'!E30+'Адыр ош'!E30+'борис сш'!E30+бесх!E30+есенг!E30+марКсш!E30+'мар СШ'!E30+магд!E30+новос!E30+'ново-мар'!E30+'акана курманова'!E30+бастау1!E30+'бастау2)'!E30+попв!E30+покр!E30+полт!E30+радион!E30+соч!E30+серг!E30+сепе!E30+сам.ош!E30+сад.ош!E30+тимаш!E30+тельм!E30+титов!E30+шуйск!E30</f>
        <v>177192.19999999998</v>
      </c>
    </row>
    <row r="31" spans="1:6" ht="25.5">
      <c r="A31" s="12" t="s">
        <v>7</v>
      </c>
      <c r="B31" s="6" t="s">
        <v>2</v>
      </c>
      <c r="C31" s="40">
        <f>'СШ №1'!C31+'СШ №2'!C31+'СШ №3'!C31+'СШ №4'!C31+'СШ №5'!C31+'СШ №6'!C31+'СШ №7'!C31+'сш №8'!C31+'Адыр ош'!C31+'борис сш'!C31+бесх!C31+есенг!C31+марКсш!C31+'мар СШ'!C31+магд!C31+новос!C31+'ново-мар'!C31+'акана курманова'!C31+бастау1!C31+'бастау2)'!C31+попв!C31+покр!C31+полт!C31+радион!C31+соч!C31+серг!C31+сепе!C31+сам.ош!C31+сад.ош!C31+тимаш!C31+тельм!C31+титов!C31+шуйск!C31</f>
        <v>0</v>
      </c>
      <c r="D31" s="40">
        <f>'СШ №1'!D31+'СШ №2'!D31+'СШ №3'!D31+'СШ №4'!D31+'СШ №5'!D31+'СШ №6'!D31+'СШ №7'!D31+'сш №8'!D31+'Адыр ош'!D31+'борис сш'!D31+бесх!D31+есенг!D31+марКсш!D31+'мар СШ'!D31+магд!D31+новос!D31+'ново-мар'!D31+'акана курманова'!D31+бастау1!D31+'бастау2)'!D31+попв!D31+покр!D31+полт!D31+радион!D31+соч!D31+серг!D31+сепе!D31+сам.ош!D31+сад.ош!D31+тимаш!D31+тельм!D31+титов!D31+шуйск!D31</f>
        <v>0</v>
      </c>
      <c r="E31" s="40">
        <f>'СШ №1'!E31+'СШ №2'!E31+'СШ №3'!E31+'СШ №4'!E31+'СШ №5'!E31+'СШ №6'!E31+'СШ №7'!E31+'сш №8'!E31+'Адыр ош'!E31+'борис сш'!E31+бесх!E31+есенг!E31+марКсш!E31+'мар СШ'!E31+магд!E31+новос!E31+'ново-мар'!E31+'акана курманова'!E31+бастау1!E31+'бастау2)'!E31+попв!E31+покр!E31+полт!E31+радион!E31+соч!E31+серг!E31+сепе!E31+сам.ош!E31+сад.ош!E31+тимаш!E31+тельм!E31+титов!E31+шуйск!E31</f>
        <v>0</v>
      </c>
    </row>
    <row r="32" spans="1:6" ht="36.75">
      <c r="A32" s="12" t="s">
        <v>8</v>
      </c>
      <c r="B32" s="6" t="s">
        <v>2</v>
      </c>
      <c r="C32" s="40">
        <f>'СШ №1'!C32+'СШ №2'!C32+'СШ №3'!C32+'СШ №4'!C32+'СШ №5'!C32+'СШ №6'!C32+'СШ №7'!C32+'сш №8'!C32+'Адыр ош'!C32+'борис сш'!C32+бесх!C32+есенг!C32+марКсш!C32+'мар СШ'!C32+магд!C32+новос!C32+'ново-мар'!C32+'акана курманова'!C32+бастау1!C32+'бастау2)'!C32+попв!C32+покр!C32+полт!C32+радион!C32+соч!C32+серг!C32+сепе!C32+сам.ош!C32+сад.ош!C32+тимаш!C32+тельм!C32+титов!C32+шуйск!C32</f>
        <v>36126.800000000003</v>
      </c>
      <c r="D32" s="40">
        <f>'СШ №1'!D32+'СШ №2'!D32+'СШ №3'!D32+'СШ №4'!D32+'СШ №5'!D32+'СШ №6'!D32+'СШ №7'!D32+'сш №8'!D32+'Адыр ош'!D32+'борис сш'!D32+бесх!D32+есенг!D32+марКсш!D32+'мар СШ'!D32+магд!D32+новос!D32+'ново-мар'!D32+'акана курманова'!D32+бастау1!D32+'бастау2)'!D32+попв!D32+покр!D32+полт!D32+радион!D32+соч!D32+серг!D32+сепе!D32+сам.ош!D32+сад.ош!D32+тимаш!D32+тельм!D32+титов!D32+шуйск!D32</f>
        <v>36126.800000000003</v>
      </c>
      <c r="E32" s="40">
        <f>'СШ №1'!E32+'СШ №2'!E32+'СШ №3'!E32+'СШ №4'!E32+'СШ №5'!E32+'СШ №6'!E32+'СШ №7'!E32+'сш №8'!E32+'Адыр ош'!E32+'борис сш'!E32+бесх!E32+есенг!E32+марКсш!E32+'мар СШ'!E32+магд!E32+новос!E32+'ново-мар'!E32+'акана курманова'!E32+бастау1!E32+'бастау2)'!E32+попв!E32+покр!E32+полт!E32+радион!E32+соч!E32+серг!E32+сепе!E32+сам.ош!E32+сад.ош!E32+тимаш!E32+тельм!E32+титов!E32+шуйск!E32</f>
        <v>44097.130000000005</v>
      </c>
    </row>
    <row r="33" spans="1:5" ht="54" customHeight="1">
      <c r="A33" s="12" t="s">
        <v>9</v>
      </c>
      <c r="B33" s="6" t="s">
        <v>2</v>
      </c>
      <c r="C33" s="40">
        <f>'СШ №1'!C33+'СШ №2'!C33+'СШ №3'!C33+'СШ №4'!C33+'СШ №5'!C33+'СШ №6'!C33+'СШ №7'!C33+'сш №8'!C33+'Адыр ош'!C33+'борис сш'!C33+бесх!C33+есенг!C33+марКсш!C33+'мар СШ'!C33+магд!C33+новос!C33+'ново-мар'!C33+'акана курманова'!C33+бастау1!C33+'бастау2)'!C33+попв!C33+покр!C33+полт!C33+радион!C33+соч!C33+серг!C33+сепе!C33+сам.ош!C33+сад.ош!C33+тимаш!C33+тельм!C33+титов!C33+шуйск!C33</f>
        <v>248270.69999999995</v>
      </c>
      <c r="D33" s="40">
        <f>'СШ №1'!D33+'СШ №2'!D33+'СШ №3'!D33+'СШ №4'!D33+'СШ №5'!D33+'СШ №6'!D33+'СШ №7'!D33+'сш №8'!D33+'Адыр ош'!D33+'борис сш'!D33+бесх!D33+есенг!D33+марКсш!D33+'мар СШ'!D33+магд!D33+новос!D33+'ново-мар'!D33+'акана курманова'!D33+бастау1!D33+'бастау2)'!D33+попв!D33+покр!D33+полт!D33+радион!D33+соч!D33+серг!D33+сепе!D33+сам.ош!D33+сад.ош!D33+тимаш!D33+тельм!D33+титов!D33+шуйск!D33</f>
        <v>248270.69999999995</v>
      </c>
      <c r="E33" s="40">
        <f>'СШ №1'!E33+'СШ №2'!E33+'СШ №3'!E33+'СШ №4'!E33+'СШ №5'!E33+'СШ №6'!E33+'СШ №7'!E33+'сш №8'!E33+'Адыр ош'!E33+'борис сш'!E33+бесх!E33+есенг!E33+марКсш!E33+'мар СШ'!E33+магд!E33+новос!E33+'ново-мар'!E33+'акана курманова'!E33+бастау1!E33+'бастау2)'!E33+попв!E33+покр!E33+полт!E33+радион!E33+соч!E33+серг!E33+сепе!E33+сам.ош!E33+сад.ош!E33+тимаш!E33+тельм!E33+титов!E33+шуйск!E33</f>
        <v>436021.19999999995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3"/>
  <sheetViews>
    <sheetView topLeftCell="A17" workbookViewId="0">
      <selection activeCell="F31" sqref="F31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69</v>
      </c>
      <c r="B2" s="43"/>
      <c r="C2" s="43"/>
      <c r="D2" s="43"/>
      <c r="E2" s="43"/>
    </row>
    <row r="3" spans="1:7">
      <c r="A3" s="1"/>
    </row>
    <row r="4" spans="1:7" ht="42" customHeight="1">
      <c r="A4" s="50" t="s">
        <v>41</v>
      </c>
      <c r="B4" s="50"/>
      <c r="C4" s="50"/>
      <c r="D4" s="50"/>
      <c r="E4" s="50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77</v>
      </c>
      <c r="D11" s="36">
        <v>77</v>
      </c>
      <c r="E11" s="36">
        <v>77</v>
      </c>
    </row>
    <row r="12" spans="1:7" ht="25.5">
      <c r="A12" s="10" t="s">
        <v>25</v>
      </c>
      <c r="B12" s="6" t="s">
        <v>2</v>
      </c>
      <c r="C12" s="19">
        <f>(C13-C32)/C11</f>
        <v>371.33506493506491</v>
      </c>
      <c r="D12" s="19">
        <f t="shared" ref="D12:E12" si="0">(D13-D32)/D11</f>
        <v>371.33506493506491</v>
      </c>
      <c r="E12" s="19">
        <f t="shared" si="0"/>
        <v>535.04025974025978</v>
      </c>
    </row>
    <row r="13" spans="1:7" ht="25.5">
      <c r="A13" s="5" t="s">
        <v>11</v>
      </c>
      <c r="B13" s="6" t="s">
        <v>2</v>
      </c>
      <c r="C13" s="19">
        <v>28592.799999999999</v>
      </c>
      <c r="D13" s="19">
        <f>C13</f>
        <v>28592.799999999999</v>
      </c>
      <c r="E13" s="19">
        <f>E15+E29+E30+E31+E32+E33</f>
        <v>41309.300000000003</v>
      </c>
    </row>
    <row r="14" spans="1:7">
      <c r="A14" s="8" t="s">
        <v>0</v>
      </c>
      <c r="B14" s="9"/>
      <c r="C14" s="19">
        <v>0</v>
      </c>
      <c r="D14" s="19">
        <f t="shared" ref="D14:D33" si="1">C14</f>
        <v>0</v>
      </c>
      <c r="E14" s="19">
        <v>0</v>
      </c>
      <c r="G14" s="18"/>
    </row>
    <row r="15" spans="1:7" ht="25.5">
      <c r="A15" s="5" t="s">
        <v>12</v>
      </c>
      <c r="B15" s="6" t="s">
        <v>2</v>
      </c>
      <c r="C15" s="19">
        <v>25225</v>
      </c>
      <c r="D15" s="19">
        <f t="shared" si="1"/>
        <v>25225</v>
      </c>
      <c r="E15" s="19">
        <f>E17+E20+E23+E26</f>
        <v>32606.300000000003</v>
      </c>
    </row>
    <row r="16" spans="1:7">
      <c r="A16" s="8" t="s">
        <v>1</v>
      </c>
      <c r="B16" s="9"/>
      <c r="C16" s="19">
        <v>0</v>
      </c>
      <c r="D16" s="19">
        <f t="shared" si="1"/>
        <v>0</v>
      </c>
      <c r="E16" s="19">
        <v>0</v>
      </c>
    </row>
    <row r="17" spans="1:5" s="23" customFormat="1" ht="25.5">
      <c r="A17" s="26" t="s">
        <v>62</v>
      </c>
      <c r="B17" s="21" t="s">
        <v>2</v>
      </c>
      <c r="C17" s="36">
        <v>2550.5</v>
      </c>
      <c r="D17" s="19">
        <f t="shared" si="1"/>
        <v>2550.5</v>
      </c>
      <c r="E17" s="36">
        <v>2992.7</v>
      </c>
    </row>
    <row r="18" spans="1:5" s="23" customFormat="1">
      <c r="A18" s="27" t="s">
        <v>4</v>
      </c>
      <c r="B18" s="28" t="s">
        <v>3</v>
      </c>
      <c r="C18" s="52">
        <v>2</v>
      </c>
      <c r="D18" s="19">
        <f t="shared" si="1"/>
        <v>2</v>
      </c>
      <c r="E18" s="52">
        <v>2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106470.83333333333</v>
      </c>
      <c r="D19" s="19">
        <f t="shared" si="1"/>
        <v>106470.83333333333</v>
      </c>
      <c r="E19" s="36">
        <f>E17*1000/12/E18</f>
        <v>124695.83333333333</v>
      </c>
    </row>
    <row r="20" spans="1:5" s="23" customFormat="1" ht="25.5">
      <c r="A20" s="26" t="s">
        <v>63</v>
      </c>
      <c r="B20" s="21" t="s">
        <v>2</v>
      </c>
      <c r="C20" s="36">
        <v>15369</v>
      </c>
      <c r="D20" s="19">
        <f t="shared" si="1"/>
        <v>15369</v>
      </c>
      <c r="E20" s="36">
        <v>20998.400000000001</v>
      </c>
    </row>
    <row r="21" spans="1:5" s="23" customFormat="1">
      <c r="A21" s="27" t="s">
        <v>4</v>
      </c>
      <c r="B21" s="28" t="s">
        <v>3</v>
      </c>
      <c r="C21" s="52">
        <f>15.1-3.9+0.35</f>
        <v>11.549999999999999</v>
      </c>
      <c r="D21" s="19">
        <f t="shared" si="1"/>
        <v>11.549999999999999</v>
      </c>
      <c r="E21" s="52">
        <v>16.7</v>
      </c>
    </row>
    <row r="22" spans="1:5" ht="21.95" customHeight="1">
      <c r="A22" s="10" t="s">
        <v>27</v>
      </c>
      <c r="B22" s="6" t="s">
        <v>28</v>
      </c>
      <c r="C22" s="36">
        <f>C20/12/C21*1000</f>
        <v>110887.44588744589</v>
      </c>
      <c r="D22" s="19">
        <f t="shared" si="1"/>
        <v>110887.44588744589</v>
      </c>
      <c r="E22" s="36">
        <f t="shared" ref="E22" si="2">E20/12/E21*1000</f>
        <v>104782.43512974054</v>
      </c>
    </row>
    <row r="23" spans="1:5" ht="39">
      <c r="A23" s="14" t="s">
        <v>26</v>
      </c>
      <c r="B23" s="6" t="s">
        <v>2</v>
      </c>
      <c r="C23" s="36">
        <v>333.5</v>
      </c>
      <c r="D23" s="19">
        <f t="shared" si="1"/>
        <v>333.5</v>
      </c>
      <c r="E23" s="36">
        <v>1783.4</v>
      </c>
    </row>
    <row r="24" spans="1:5">
      <c r="A24" s="10" t="s">
        <v>4</v>
      </c>
      <c r="B24" s="11" t="s">
        <v>3</v>
      </c>
      <c r="C24" s="52">
        <v>0.5</v>
      </c>
      <c r="D24" s="19">
        <f t="shared" si="1"/>
        <v>0.5</v>
      </c>
      <c r="E24" s="52">
        <v>2.5</v>
      </c>
    </row>
    <row r="25" spans="1:5" ht="21.95" customHeight="1">
      <c r="A25" s="10" t="s">
        <v>27</v>
      </c>
      <c r="B25" s="6" t="s">
        <v>28</v>
      </c>
      <c r="C25" s="36">
        <f>C23/C24/12*1000</f>
        <v>55583.333333333336</v>
      </c>
      <c r="D25" s="19">
        <f t="shared" si="1"/>
        <v>55583.333333333336</v>
      </c>
      <c r="E25" s="36">
        <f t="shared" ref="E25" si="3">E23/E24/12*1000</f>
        <v>59446.666666666664</v>
      </c>
    </row>
    <row r="26" spans="1:5" ht="25.5">
      <c r="A26" s="7" t="s">
        <v>24</v>
      </c>
      <c r="B26" s="6" t="s">
        <v>2</v>
      </c>
      <c r="C26" s="36">
        <v>4324.5</v>
      </c>
      <c r="D26" s="19">
        <f t="shared" si="1"/>
        <v>4324.5</v>
      </c>
      <c r="E26" s="36">
        <v>6831.8</v>
      </c>
    </row>
    <row r="27" spans="1:5">
      <c r="A27" s="10" t="s">
        <v>4</v>
      </c>
      <c r="B27" s="11" t="s">
        <v>3</v>
      </c>
      <c r="C27" s="52">
        <v>7.55</v>
      </c>
      <c r="D27" s="19">
        <f t="shared" si="1"/>
        <v>7.55</v>
      </c>
      <c r="E27" s="52">
        <v>11.8</v>
      </c>
    </row>
    <row r="28" spans="1:5" ht="21.95" customHeight="1">
      <c r="A28" s="10" t="s">
        <v>27</v>
      </c>
      <c r="B28" s="6" t="s">
        <v>28</v>
      </c>
      <c r="C28" s="36">
        <f>C26/12/C27*1000</f>
        <v>47731.7880794702</v>
      </c>
      <c r="D28" s="19">
        <f t="shared" si="1"/>
        <v>47731.7880794702</v>
      </c>
      <c r="E28" s="36">
        <f t="shared" ref="E28" si="4">E26/12/E27*1000</f>
        <v>48247.175141242944</v>
      </c>
    </row>
    <row r="29" spans="1:5" ht="25.5">
      <c r="A29" s="5" t="s">
        <v>5</v>
      </c>
      <c r="B29" s="6" t="s">
        <v>2</v>
      </c>
      <c r="C29" s="19">
        <v>2647.1</v>
      </c>
      <c r="D29" s="19">
        <f t="shared" si="1"/>
        <v>2647.1</v>
      </c>
      <c r="E29" s="19">
        <v>2948</v>
      </c>
    </row>
    <row r="30" spans="1:5" ht="36.75">
      <c r="A30" s="12" t="s">
        <v>6</v>
      </c>
      <c r="B30" s="6" t="s">
        <v>2</v>
      </c>
      <c r="C30" s="19">
        <v>1475</v>
      </c>
      <c r="D30" s="19">
        <f t="shared" si="1"/>
        <v>1475</v>
      </c>
      <c r="E30" s="19">
        <v>3751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111.2</v>
      </c>
    </row>
    <row r="33" spans="1:5" ht="38.25" customHeight="1">
      <c r="A33" s="12" t="s">
        <v>9</v>
      </c>
      <c r="B33" s="6" t="s">
        <v>2</v>
      </c>
      <c r="C33" s="19">
        <f>671.3+1221.5</f>
        <v>1892.8</v>
      </c>
      <c r="D33" s="19">
        <f t="shared" si="1"/>
        <v>1892.8</v>
      </c>
      <c r="E33" s="19">
        <f>D33</f>
        <v>1892.8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B36" sqref="B36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69</v>
      </c>
      <c r="B2" s="43"/>
      <c r="C2" s="43"/>
      <c r="D2" s="43"/>
      <c r="E2" s="43"/>
    </row>
    <row r="3" spans="1:7">
      <c r="A3" s="1"/>
    </row>
    <row r="4" spans="1:7" ht="29.25" customHeight="1">
      <c r="A4" s="51" t="s">
        <v>38</v>
      </c>
      <c r="B4" s="51"/>
      <c r="C4" s="51"/>
      <c r="D4" s="51"/>
      <c r="E4" s="51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  <c r="F10" s="2" t="s">
        <v>76</v>
      </c>
    </row>
    <row r="11" spans="1:7">
      <c r="A11" s="5" t="s">
        <v>22</v>
      </c>
      <c r="B11" s="6" t="s">
        <v>10</v>
      </c>
      <c r="C11" s="36">
        <v>148</v>
      </c>
      <c r="D11" s="36">
        <v>148</v>
      </c>
      <c r="E11" s="36">
        <v>148</v>
      </c>
    </row>
    <row r="12" spans="1:7" ht="25.5">
      <c r="A12" s="10" t="s">
        <v>25</v>
      </c>
      <c r="B12" s="6" t="s">
        <v>2</v>
      </c>
      <c r="C12" s="19">
        <f>(C13-C32)/C11</f>
        <v>437.49594594594595</v>
      </c>
      <c r="D12" s="19">
        <f t="shared" ref="D12:E12" si="0">(D13-D32)/D11</f>
        <v>437.49594594594595</v>
      </c>
      <c r="E12" s="19">
        <f t="shared" si="0"/>
        <v>522.75878378378377</v>
      </c>
    </row>
    <row r="13" spans="1:7" ht="25.5">
      <c r="A13" s="5" t="s">
        <v>11</v>
      </c>
      <c r="B13" s="6" t="s">
        <v>2</v>
      </c>
      <c r="C13" s="19">
        <v>64749.4</v>
      </c>
      <c r="D13" s="19">
        <f>C13</f>
        <v>64749.4</v>
      </c>
      <c r="E13" s="19">
        <f>E15+E29+E30+E31+E32+E33</f>
        <v>77513.600000000006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52100</v>
      </c>
      <c r="D15" s="19">
        <f t="shared" si="1"/>
        <v>52100</v>
      </c>
      <c r="E15" s="19">
        <f>E17+E20+E23+E26</f>
        <v>50963.799999999996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36">
        <v>3665.3</v>
      </c>
      <c r="D17" s="19">
        <f t="shared" si="1"/>
        <v>3665.3</v>
      </c>
      <c r="E17" s="36">
        <v>4011.2</v>
      </c>
    </row>
    <row r="18" spans="1:5" s="23" customFormat="1">
      <c r="A18" s="27" t="s">
        <v>4</v>
      </c>
      <c r="B18" s="28" t="s">
        <v>3</v>
      </c>
      <c r="C18" s="52">
        <v>3</v>
      </c>
      <c r="D18" s="19">
        <f t="shared" si="1"/>
        <v>3</v>
      </c>
      <c r="E18" s="52">
        <v>3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102013.88888888888</v>
      </c>
      <c r="D19" s="19">
        <f t="shared" si="1"/>
        <v>102013.88888888888</v>
      </c>
      <c r="E19" s="36">
        <f>E17*1000/12/E18</f>
        <v>111422.22222222223</v>
      </c>
    </row>
    <row r="20" spans="1:5" s="23" customFormat="1" ht="25.5">
      <c r="A20" s="26" t="s">
        <v>63</v>
      </c>
      <c r="B20" s="21" t="s">
        <v>2</v>
      </c>
      <c r="C20" s="36">
        <v>32296</v>
      </c>
      <c r="D20" s="19">
        <f t="shared" si="1"/>
        <v>32296</v>
      </c>
      <c r="E20" s="36">
        <v>30190.9</v>
      </c>
    </row>
    <row r="21" spans="1:5">
      <c r="A21" s="10" t="s">
        <v>4</v>
      </c>
      <c r="B21" s="11" t="s">
        <v>3</v>
      </c>
      <c r="C21" s="52">
        <f>21.1+3.75</f>
        <v>24.85</v>
      </c>
      <c r="D21" s="19">
        <f t="shared" si="1"/>
        <v>24.85</v>
      </c>
      <c r="E21" s="52">
        <v>23.65</v>
      </c>
    </row>
    <row r="22" spans="1:5" ht="21.95" customHeight="1">
      <c r="A22" s="10" t="s">
        <v>27</v>
      </c>
      <c r="B22" s="6" t="s">
        <v>28</v>
      </c>
      <c r="C22" s="36">
        <f>C20/12/C21*1000</f>
        <v>108303.15224681422</v>
      </c>
      <c r="D22" s="19">
        <f t="shared" si="1"/>
        <v>108303.15224681422</v>
      </c>
      <c r="E22" s="36">
        <f t="shared" ref="E22" si="2">E20/12/E21*1000</f>
        <v>106380.90204369274</v>
      </c>
    </row>
    <row r="23" spans="1:5" ht="39">
      <c r="A23" s="14" t="s">
        <v>26</v>
      </c>
      <c r="B23" s="6" t="s">
        <v>2</v>
      </c>
      <c r="C23" s="36">
        <v>2952.5</v>
      </c>
      <c r="D23" s="19">
        <f t="shared" si="1"/>
        <v>2952.5</v>
      </c>
      <c r="E23" s="36">
        <v>3351.7</v>
      </c>
    </row>
    <row r="24" spans="1:5">
      <c r="A24" s="10" t="s">
        <v>4</v>
      </c>
      <c r="B24" s="11" t="s">
        <v>3</v>
      </c>
      <c r="C24" s="52">
        <v>3.5</v>
      </c>
      <c r="D24" s="19">
        <f t="shared" si="1"/>
        <v>3.5</v>
      </c>
      <c r="E24" s="52">
        <v>3.75</v>
      </c>
    </row>
    <row r="25" spans="1:5" ht="21.95" customHeight="1">
      <c r="A25" s="10" t="s">
        <v>27</v>
      </c>
      <c r="B25" s="6" t="s">
        <v>28</v>
      </c>
      <c r="C25" s="36">
        <f>C23/C24/12*1000</f>
        <v>70297.619047619053</v>
      </c>
      <c r="D25" s="19">
        <f t="shared" si="1"/>
        <v>70297.619047619053</v>
      </c>
      <c r="E25" s="36">
        <f t="shared" ref="E25" si="3">E23/E24/12*1000</f>
        <v>74482.222222222219</v>
      </c>
    </row>
    <row r="26" spans="1:5" ht="25.5">
      <c r="A26" s="7" t="s">
        <v>24</v>
      </c>
      <c r="B26" s="6" t="s">
        <v>2</v>
      </c>
      <c r="C26" s="36">
        <v>8522.5</v>
      </c>
      <c r="D26" s="19">
        <f t="shared" si="1"/>
        <v>8522.5</v>
      </c>
      <c r="E26" s="36">
        <v>13410</v>
      </c>
    </row>
    <row r="27" spans="1:5">
      <c r="A27" s="10" t="s">
        <v>4</v>
      </c>
      <c r="B27" s="11" t="s">
        <v>3</v>
      </c>
      <c r="C27" s="52">
        <v>13.5</v>
      </c>
      <c r="D27" s="19">
        <f t="shared" si="1"/>
        <v>13.5</v>
      </c>
      <c r="E27" s="52">
        <v>19.18</v>
      </c>
    </row>
    <row r="28" spans="1:5" ht="21.95" customHeight="1">
      <c r="A28" s="10" t="s">
        <v>27</v>
      </c>
      <c r="B28" s="6" t="s">
        <v>28</v>
      </c>
      <c r="C28" s="36">
        <f>C26/12/C27*1000</f>
        <v>52608.024691358027</v>
      </c>
      <c r="D28" s="19">
        <f t="shared" si="1"/>
        <v>52608.024691358027</v>
      </c>
      <c r="E28" s="36">
        <f t="shared" ref="E28" si="4">E26/12/E27*1000</f>
        <v>58263.81647549531</v>
      </c>
    </row>
    <row r="29" spans="1:5" ht="25.5">
      <c r="A29" s="5" t="s">
        <v>5</v>
      </c>
      <c r="B29" s="6" t="s">
        <v>2</v>
      </c>
      <c r="C29" s="19">
        <v>4664</v>
      </c>
      <c r="D29" s="19">
        <f t="shared" si="1"/>
        <v>4664</v>
      </c>
      <c r="E29" s="19">
        <v>4999</v>
      </c>
    </row>
    <row r="30" spans="1:5" ht="36.75">
      <c r="A30" s="12" t="s">
        <v>6</v>
      </c>
      <c r="B30" s="6" t="s">
        <v>2</v>
      </c>
      <c r="C30" s="19">
        <v>2618</v>
      </c>
      <c r="D30" s="19">
        <f t="shared" si="1"/>
        <v>2618</v>
      </c>
      <c r="E30" s="19">
        <v>5419.5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145.30000000000001</v>
      </c>
    </row>
    <row r="33" spans="1:5" ht="38.25" customHeight="1">
      <c r="A33" s="12" t="s">
        <v>9</v>
      </c>
      <c r="B33" s="6" t="s">
        <v>2</v>
      </c>
      <c r="C33" s="19">
        <f>513.6+9517.6</f>
        <v>10031.200000000001</v>
      </c>
      <c r="D33" s="19">
        <f t="shared" si="1"/>
        <v>10031.200000000001</v>
      </c>
      <c r="E33" s="19">
        <v>15986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F27" sqref="F27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70</v>
      </c>
      <c r="B2" s="43"/>
      <c r="C2" s="43"/>
      <c r="D2" s="43"/>
      <c r="E2" s="43"/>
    </row>
    <row r="3" spans="1:7">
      <c r="A3" s="1"/>
    </row>
    <row r="4" spans="1:7">
      <c r="A4" s="44" t="s">
        <v>39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60</v>
      </c>
      <c r="D11" s="36">
        <v>60</v>
      </c>
      <c r="E11" s="36">
        <v>60</v>
      </c>
    </row>
    <row r="12" spans="1:7" ht="25.5">
      <c r="A12" s="10" t="s">
        <v>25</v>
      </c>
      <c r="B12" s="6" t="s">
        <v>2</v>
      </c>
      <c r="C12" s="19">
        <f>(C13--C32)/C11</f>
        <v>441.30166666666662</v>
      </c>
      <c r="D12" s="19">
        <f t="shared" ref="D12:E12" si="0">(D13--D32)/D11</f>
        <v>441.30166666666662</v>
      </c>
      <c r="E12" s="19">
        <f t="shared" si="0"/>
        <v>545.96333333333337</v>
      </c>
    </row>
    <row r="13" spans="1:7" ht="25.5">
      <c r="A13" s="5" t="s">
        <v>11</v>
      </c>
      <c r="B13" s="6" t="s">
        <v>2</v>
      </c>
      <c r="C13" s="19">
        <v>26478.1</v>
      </c>
      <c r="D13" s="19">
        <f>C13</f>
        <v>26478.1</v>
      </c>
      <c r="E13" s="19">
        <f>E15+E29+E30+E32+E33</f>
        <v>32757.8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23222.799999999999</v>
      </c>
      <c r="D15" s="19">
        <f t="shared" si="1"/>
        <v>23222.799999999999</v>
      </c>
      <c r="E15" s="19">
        <f>E17+E20+E23+E26</f>
        <v>23970.799999999999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36">
        <v>2457.5</v>
      </c>
      <c r="D17" s="19">
        <f t="shared" si="1"/>
        <v>2457.5</v>
      </c>
      <c r="E17" s="36">
        <v>2468</v>
      </c>
    </row>
    <row r="18" spans="1:5" s="23" customFormat="1">
      <c r="A18" s="27" t="s">
        <v>4</v>
      </c>
      <c r="B18" s="28" t="s">
        <v>3</v>
      </c>
      <c r="C18" s="36">
        <v>2</v>
      </c>
      <c r="D18" s="19">
        <f t="shared" si="1"/>
        <v>2</v>
      </c>
      <c r="E18" s="36">
        <v>2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102595.83333333333</v>
      </c>
      <c r="D19" s="19">
        <f t="shared" si="1"/>
        <v>102595.83333333333</v>
      </c>
      <c r="E19" s="36">
        <f>E17*1000/12/E18</f>
        <v>102833.33333333333</v>
      </c>
    </row>
    <row r="20" spans="1:5" s="23" customFormat="1" ht="25.5">
      <c r="A20" s="26" t="s">
        <v>63</v>
      </c>
      <c r="B20" s="21" t="s">
        <v>2</v>
      </c>
      <c r="C20" s="36">
        <v>13264</v>
      </c>
      <c r="D20" s="19">
        <f t="shared" si="1"/>
        <v>13264</v>
      </c>
      <c r="E20" s="36">
        <v>14560.1</v>
      </c>
    </row>
    <row r="21" spans="1:5" s="23" customFormat="1">
      <c r="A21" s="27" t="s">
        <v>4</v>
      </c>
      <c r="B21" s="28" t="s">
        <v>3</v>
      </c>
      <c r="C21" s="36">
        <f>16.7-7.1</f>
        <v>9.6</v>
      </c>
      <c r="D21" s="19">
        <f t="shared" si="1"/>
        <v>9.6</v>
      </c>
      <c r="E21" s="36">
        <v>11.44</v>
      </c>
    </row>
    <row r="22" spans="1:5" ht="21.95" customHeight="1">
      <c r="A22" s="10" t="s">
        <v>27</v>
      </c>
      <c r="B22" s="6" t="s">
        <v>28</v>
      </c>
      <c r="C22" s="36">
        <f>C20/12/C21*1000</f>
        <v>115138.88888888889</v>
      </c>
      <c r="D22" s="19">
        <f t="shared" si="1"/>
        <v>115138.88888888889</v>
      </c>
      <c r="E22" s="36">
        <f t="shared" ref="E22" si="2">E20/12/E21*1000</f>
        <v>106061.33449883451</v>
      </c>
    </row>
    <row r="23" spans="1:5" ht="39">
      <c r="A23" s="14" t="s">
        <v>26</v>
      </c>
      <c r="B23" s="6" t="s">
        <v>2</v>
      </c>
      <c r="C23" s="36">
        <v>445.8</v>
      </c>
      <c r="D23" s="19">
        <f t="shared" si="1"/>
        <v>445.8</v>
      </c>
      <c r="E23" s="36">
        <v>1444.2</v>
      </c>
    </row>
    <row r="24" spans="1:5">
      <c r="A24" s="10" t="s">
        <v>4</v>
      </c>
      <c r="B24" s="11" t="s">
        <v>3</v>
      </c>
      <c r="C24" s="36">
        <v>0.5</v>
      </c>
      <c r="D24" s="19">
        <f t="shared" si="1"/>
        <v>0.5</v>
      </c>
      <c r="E24" s="36">
        <v>1.5</v>
      </c>
    </row>
    <row r="25" spans="1:5" ht="21.95" customHeight="1">
      <c r="A25" s="10" t="s">
        <v>27</v>
      </c>
      <c r="B25" s="6" t="s">
        <v>28</v>
      </c>
      <c r="C25" s="36">
        <f>C23/C24/12*1000</f>
        <v>74300</v>
      </c>
      <c r="D25" s="19">
        <f t="shared" si="1"/>
        <v>74300</v>
      </c>
      <c r="E25" s="36">
        <f t="shared" ref="E25" si="3">E23/E24/12*1000</f>
        <v>80233.333333333328</v>
      </c>
    </row>
    <row r="26" spans="1:5" ht="25.5">
      <c r="A26" s="7" t="s">
        <v>24</v>
      </c>
      <c r="B26" s="6" t="s">
        <v>2</v>
      </c>
      <c r="C26" s="36">
        <v>4789.3</v>
      </c>
      <c r="D26" s="19">
        <f t="shared" si="1"/>
        <v>4789.3</v>
      </c>
      <c r="E26" s="36">
        <v>5498.5</v>
      </c>
    </row>
    <row r="27" spans="1:5">
      <c r="A27" s="10" t="s">
        <v>4</v>
      </c>
      <c r="B27" s="11" t="s">
        <v>3</v>
      </c>
      <c r="C27" s="36">
        <v>8.5</v>
      </c>
      <c r="D27" s="19">
        <f t="shared" si="1"/>
        <v>8.5</v>
      </c>
      <c r="E27" s="36">
        <v>9.8000000000000007</v>
      </c>
    </row>
    <row r="28" spans="1:5" ht="21.95" customHeight="1">
      <c r="A28" s="10" t="s">
        <v>27</v>
      </c>
      <c r="B28" s="6" t="s">
        <v>28</v>
      </c>
      <c r="C28" s="36">
        <f>C26/12/C27*1000</f>
        <v>46953.921568627447</v>
      </c>
      <c r="D28" s="19">
        <f t="shared" si="1"/>
        <v>46953.921568627447</v>
      </c>
      <c r="E28" s="36">
        <f t="shared" ref="E28" si="4">E26/12/E27*1000</f>
        <v>46755.952380952374</v>
      </c>
    </row>
    <row r="29" spans="1:5" ht="25.5">
      <c r="A29" s="5" t="s">
        <v>5</v>
      </c>
      <c r="B29" s="6" t="s">
        <v>2</v>
      </c>
      <c r="C29" s="19">
        <v>2266</v>
      </c>
      <c r="D29" s="19">
        <f t="shared" si="1"/>
        <v>2266</v>
      </c>
      <c r="E29" s="19">
        <v>2566</v>
      </c>
    </row>
    <row r="30" spans="1:5" ht="36.75">
      <c r="A30" s="12" t="s">
        <v>6</v>
      </c>
      <c r="B30" s="6" t="s">
        <v>2</v>
      </c>
      <c r="C30" s="19">
        <v>2148.3000000000002</v>
      </c>
      <c r="D30" s="19">
        <f t="shared" si="1"/>
        <v>2148.3000000000002</v>
      </c>
      <c r="E30" s="19">
        <v>5114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0</v>
      </c>
    </row>
    <row r="33" spans="1:5" ht="38.25" customHeight="1">
      <c r="A33" s="12" t="s">
        <v>9</v>
      </c>
      <c r="B33" s="6" t="s">
        <v>2</v>
      </c>
      <c r="C33" s="19">
        <f>446.9+660.1</f>
        <v>1107</v>
      </c>
      <c r="D33" s="19">
        <f t="shared" si="1"/>
        <v>1107</v>
      </c>
      <c r="E33" s="19">
        <f t="shared" ref="E33" si="5">446.9+660.1</f>
        <v>1107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F32" sqref="F32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71</v>
      </c>
      <c r="B2" s="43"/>
      <c r="C2" s="43"/>
      <c r="D2" s="43"/>
      <c r="E2" s="43"/>
    </row>
    <row r="3" spans="1:7">
      <c r="A3" s="1"/>
    </row>
    <row r="4" spans="1:7">
      <c r="A4" s="44" t="s">
        <v>40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131</v>
      </c>
      <c r="D11" s="36">
        <v>131</v>
      </c>
      <c r="E11" s="36">
        <v>131</v>
      </c>
    </row>
    <row r="12" spans="1:7" ht="25.5">
      <c r="A12" s="10" t="s">
        <v>25</v>
      </c>
      <c r="B12" s="6" t="s">
        <v>2</v>
      </c>
      <c r="C12" s="19">
        <f>(C13-C32)/C11</f>
        <v>442.75114503816798</v>
      </c>
      <c r="D12" s="19">
        <f t="shared" ref="D12:E12" si="0">(D13-D32)/D11</f>
        <v>442.75114503816798</v>
      </c>
      <c r="E12" s="19">
        <f t="shared" si="0"/>
        <v>578.82748091603059</v>
      </c>
    </row>
    <row r="13" spans="1:7" ht="25.5">
      <c r="A13" s="5" t="s">
        <v>11</v>
      </c>
      <c r="B13" s="6" t="s">
        <v>2</v>
      </c>
      <c r="C13" s="19">
        <v>58000.4</v>
      </c>
      <c r="D13" s="19">
        <f>C13</f>
        <v>58000.4</v>
      </c>
      <c r="E13" s="19">
        <f>E15+E29+E30+E31+E32+E33</f>
        <v>76022.400000000009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41196.699999999997</v>
      </c>
      <c r="D15" s="19">
        <f t="shared" si="1"/>
        <v>41196.699999999997</v>
      </c>
      <c r="E15" s="19">
        <f>E17+E20+E23+E26</f>
        <v>41602.600000000006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6" s="23" customFormat="1" ht="25.5">
      <c r="A17" s="26" t="s">
        <v>62</v>
      </c>
      <c r="B17" s="21" t="s">
        <v>2</v>
      </c>
      <c r="C17" s="54">
        <v>3158.3</v>
      </c>
      <c r="D17" s="19">
        <f t="shared" si="1"/>
        <v>3158.3</v>
      </c>
      <c r="E17" s="54">
        <v>3597.2</v>
      </c>
    </row>
    <row r="18" spans="1:6" s="23" customFormat="1">
      <c r="A18" s="27" t="s">
        <v>4</v>
      </c>
      <c r="B18" s="28" t="s">
        <v>3</v>
      </c>
      <c r="C18" s="54">
        <v>3</v>
      </c>
      <c r="D18" s="19">
        <f t="shared" si="1"/>
        <v>3</v>
      </c>
      <c r="E18" s="54">
        <v>3</v>
      </c>
    </row>
    <row r="19" spans="1:6" s="23" customFormat="1" ht="21.95" customHeight="1">
      <c r="A19" s="27" t="s">
        <v>27</v>
      </c>
      <c r="B19" s="21" t="s">
        <v>28</v>
      </c>
      <c r="C19" s="54">
        <f>C17/C18/12*1000+200</f>
        <v>87930.555555555547</v>
      </c>
      <c r="D19" s="19">
        <f t="shared" si="1"/>
        <v>87930.555555555547</v>
      </c>
      <c r="E19" s="54">
        <f>E17*1000/12/E18</f>
        <v>99922.222222222234</v>
      </c>
    </row>
    <row r="20" spans="1:6" s="23" customFormat="1" ht="25.5">
      <c r="A20" s="26" t="s">
        <v>63</v>
      </c>
      <c r="B20" s="21" t="s">
        <v>2</v>
      </c>
      <c r="C20" s="54">
        <v>23499.200000000001</v>
      </c>
      <c r="D20" s="19">
        <f t="shared" si="1"/>
        <v>23499.200000000001</v>
      </c>
      <c r="E20" s="54">
        <v>26640.3</v>
      </c>
    </row>
    <row r="21" spans="1:6" s="23" customFormat="1">
      <c r="A21" s="27" t="s">
        <v>4</v>
      </c>
      <c r="B21" s="28" t="s">
        <v>3</v>
      </c>
      <c r="C21" s="54">
        <f>21.1-2</f>
        <v>19.100000000000001</v>
      </c>
      <c r="D21" s="19">
        <f t="shared" si="1"/>
        <v>19.100000000000001</v>
      </c>
      <c r="E21" s="54">
        <v>23.3</v>
      </c>
    </row>
    <row r="22" spans="1:6" ht="21.95" customHeight="1">
      <c r="A22" s="10" t="s">
        <v>27</v>
      </c>
      <c r="B22" s="6" t="s">
        <v>28</v>
      </c>
      <c r="C22" s="54">
        <f>C20/12/C21*1000</f>
        <v>102527.05061082024</v>
      </c>
      <c r="D22" s="19">
        <f t="shared" si="1"/>
        <v>102527.05061082024</v>
      </c>
      <c r="E22" s="54">
        <f t="shared" ref="E22" si="2">E20/12/E21*1000</f>
        <v>95280.042918454943</v>
      </c>
    </row>
    <row r="23" spans="1:6" ht="39">
      <c r="A23" s="14" t="s">
        <v>26</v>
      </c>
      <c r="B23" s="6" t="s">
        <v>2</v>
      </c>
      <c r="C23" s="54">
        <v>656.5</v>
      </c>
      <c r="D23" s="19">
        <f t="shared" si="1"/>
        <v>656.5</v>
      </c>
      <c r="E23" s="54">
        <v>1587.4</v>
      </c>
    </row>
    <row r="24" spans="1:6">
      <c r="A24" s="10" t="s">
        <v>4</v>
      </c>
      <c r="B24" s="11" t="s">
        <v>3</v>
      </c>
      <c r="C24" s="54">
        <v>1</v>
      </c>
      <c r="D24" s="19">
        <f t="shared" si="1"/>
        <v>1</v>
      </c>
      <c r="E24" s="54">
        <v>2</v>
      </c>
    </row>
    <row r="25" spans="1:6" ht="21.95" customHeight="1">
      <c r="A25" s="10" t="s">
        <v>27</v>
      </c>
      <c r="B25" s="6" t="s">
        <v>28</v>
      </c>
      <c r="C25" s="54">
        <f>C23/C24/12*1000</f>
        <v>54708.333333333336</v>
      </c>
      <c r="D25" s="19">
        <f t="shared" si="1"/>
        <v>54708.333333333336</v>
      </c>
      <c r="E25" s="54">
        <f t="shared" ref="E25" si="3">E23/E24/12*1000</f>
        <v>66141.666666666672</v>
      </c>
      <c r="F25" s="2" t="s">
        <v>76</v>
      </c>
    </row>
    <row r="26" spans="1:6" ht="25.5">
      <c r="A26" s="7" t="s">
        <v>24</v>
      </c>
      <c r="B26" s="6" t="s">
        <v>2</v>
      </c>
      <c r="C26" s="54">
        <v>9877.5</v>
      </c>
      <c r="D26" s="19">
        <f t="shared" si="1"/>
        <v>9877.5</v>
      </c>
      <c r="E26" s="54">
        <v>9777.7000000000007</v>
      </c>
    </row>
    <row r="27" spans="1:6">
      <c r="A27" s="10" t="s">
        <v>4</v>
      </c>
      <c r="B27" s="11" t="s">
        <v>3</v>
      </c>
      <c r="C27" s="54">
        <v>15</v>
      </c>
      <c r="D27" s="19">
        <f t="shared" si="1"/>
        <v>15</v>
      </c>
      <c r="E27" s="54">
        <v>18.75</v>
      </c>
    </row>
    <row r="28" spans="1:6" ht="21.95" customHeight="1">
      <c r="A28" s="10" t="s">
        <v>27</v>
      </c>
      <c r="B28" s="6" t="s">
        <v>28</v>
      </c>
      <c r="C28" s="54">
        <f>C26/12/C27*1000</f>
        <v>54875</v>
      </c>
      <c r="D28" s="19">
        <f t="shared" si="1"/>
        <v>54875</v>
      </c>
      <c r="E28" s="54">
        <f t="shared" ref="E28" si="4">E26/12/E27*1000</f>
        <v>43456.444444444453</v>
      </c>
    </row>
    <row r="29" spans="1:6" ht="25.5">
      <c r="A29" s="5" t="s">
        <v>5</v>
      </c>
      <c r="B29" s="6" t="s">
        <v>2</v>
      </c>
      <c r="C29" s="19">
        <v>4005.2</v>
      </c>
      <c r="D29" s="19">
        <f t="shared" si="1"/>
        <v>4005.2</v>
      </c>
      <c r="E29" s="19">
        <v>4805</v>
      </c>
    </row>
    <row r="30" spans="1:6" ht="36.75">
      <c r="A30" s="12" t="s">
        <v>6</v>
      </c>
      <c r="B30" s="6" t="s">
        <v>2</v>
      </c>
      <c r="C30" s="19">
        <v>2443.6999999999998</v>
      </c>
      <c r="D30" s="19">
        <f t="shared" si="1"/>
        <v>2443.6999999999998</v>
      </c>
      <c r="E30" s="19">
        <v>4058.8</v>
      </c>
    </row>
    <row r="31" spans="1:6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6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196</v>
      </c>
    </row>
    <row r="33" spans="1:5" ht="38.25" customHeight="1">
      <c r="A33" s="12" t="s">
        <v>9</v>
      </c>
      <c r="B33" s="6" t="s">
        <v>2</v>
      </c>
      <c r="C33" s="19">
        <f>669.7+13690.3</f>
        <v>14360</v>
      </c>
      <c r="D33" s="19">
        <f t="shared" si="1"/>
        <v>14360</v>
      </c>
      <c r="E33" s="19">
        <v>25360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F32" sqref="F32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67</v>
      </c>
      <c r="B2" s="43"/>
      <c r="C2" s="43"/>
      <c r="D2" s="43"/>
      <c r="E2" s="43"/>
    </row>
    <row r="3" spans="1:7">
      <c r="A3" s="1"/>
    </row>
    <row r="4" spans="1:7">
      <c r="A4" s="44" t="s">
        <v>42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219</v>
      </c>
      <c r="D11" s="36">
        <v>219</v>
      </c>
      <c r="E11" s="36">
        <v>219</v>
      </c>
    </row>
    <row r="12" spans="1:7" ht="25.5">
      <c r="A12" s="10" t="s">
        <v>25</v>
      </c>
      <c r="B12" s="6" t="s">
        <v>2</v>
      </c>
      <c r="C12" s="36">
        <f>(C13-C32)/C11</f>
        <v>312.44566210045656</v>
      </c>
      <c r="D12" s="36">
        <f t="shared" ref="D12:E12" si="0">(D13-D32)/D11</f>
        <v>312.44566210045656</v>
      </c>
      <c r="E12" s="36">
        <f t="shared" si="0"/>
        <v>355.57716894977165</v>
      </c>
    </row>
    <row r="13" spans="1:7" ht="25.5">
      <c r="A13" s="5" t="s">
        <v>11</v>
      </c>
      <c r="B13" s="6" t="s">
        <v>2</v>
      </c>
      <c r="C13" s="36">
        <v>69456.7</v>
      </c>
      <c r="D13" s="36">
        <f>C13</f>
        <v>69456.7</v>
      </c>
      <c r="E13" s="36">
        <f>E15+E29+E30+E31+E32+E33</f>
        <v>79026.899999999994</v>
      </c>
    </row>
    <row r="14" spans="1:7">
      <c r="A14" s="8" t="s">
        <v>0</v>
      </c>
      <c r="B14" s="9"/>
      <c r="C14" s="36"/>
      <c r="D14" s="36">
        <f t="shared" ref="D14:D33" si="1">C14</f>
        <v>0</v>
      </c>
      <c r="E14" s="36"/>
      <c r="G14" s="18"/>
    </row>
    <row r="15" spans="1:7" ht="25.5">
      <c r="A15" s="5" t="s">
        <v>12</v>
      </c>
      <c r="B15" s="6" t="s">
        <v>2</v>
      </c>
      <c r="C15" s="36">
        <v>61164.6</v>
      </c>
      <c r="D15" s="36">
        <f t="shared" si="1"/>
        <v>61164.6</v>
      </c>
      <c r="E15" s="36">
        <f>E17+E20+E23+E26</f>
        <v>57070.69999999999</v>
      </c>
    </row>
    <row r="16" spans="1:7">
      <c r="A16" s="8" t="s">
        <v>1</v>
      </c>
      <c r="B16" s="9"/>
      <c r="C16" s="36"/>
      <c r="D16" s="36">
        <f t="shared" si="1"/>
        <v>0</v>
      </c>
      <c r="E16" s="36"/>
    </row>
    <row r="17" spans="1:7" s="23" customFormat="1" ht="25.5">
      <c r="A17" s="26" t="s">
        <v>62</v>
      </c>
      <c r="B17" s="21" t="s">
        <v>2</v>
      </c>
      <c r="C17" s="36">
        <v>4454.2</v>
      </c>
      <c r="D17" s="36">
        <f t="shared" si="1"/>
        <v>4454.2</v>
      </c>
      <c r="E17" s="36">
        <v>4572.7</v>
      </c>
      <c r="G17" s="23" t="s">
        <v>76</v>
      </c>
    </row>
    <row r="18" spans="1:7" s="23" customFormat="1">
      <c r="A18" s="27" t="s">
        <v>4</v>
      </c>
      <c r="B18" s="28" t="s">
        <v>3</v>
      </c>
      <c r="C18" s="36">
        <v>4</v>
      </c>
      <c r="D18" s="36">
        <f t="shared" si="1"/>
        <v>4</v>
      </c>
      <c r="E18" s="36">
        <v>3</v>
      </c>
    </row>
    <row r="19" spans="1:7" s="23" customFormat="1" ht="21.95" customHeight="1">
      <c r="A19" s="27" t="s">
        <v>27</v>
      </c>
      <c r="B19" s="21" t="s">
        <v>28</v>
      </c>
      <c r="C19" s="36">
        <f>C17/C18/12*1000+200</f>
        <v>92995.833333333328</v>
      </c>
      <c r="D19" s="36">
        <f t="shared" si="1"/>
        <v>92995.833333333328</v>
      </c>
      <c r="E19" s="36">
        <f>E17*1000/12/E18</f>
        <v>127019.44444444444</v>
      </c>
    </row>
    <row r="20" spans="1:7" s="23" customFormat="1" ht="25.5">
      <c r="A20" s="26" t="s">
        <v>63</v>
      </c>
      <c r="B20" s="21" t="s">
        <v>2</v>
      </c>
      <c r="C20" s="36">
        <v>36501</v>
      </c>
      <c r="D20" s="36">
        <f t="shared" si="1"/>
        <v>36501</v>
      </c>
      <c r="E20" s="36">
        <v>35006.199999999997</v>
      </c>
    </row>
    <row r="21" spans="1:7">
      <c r="A21" s="10" t="s">
        <v>4</v>
      </c>
      <c r="B21" s="11" t="s">
        <v>3</v>
      </c>
      <c r="C21" s="36">
        <f>29.4+3.8</f>
        <v>33.199999999999996</v>
      </c>
      <c r="D21" s="36">
        <f t="shared" si="1"/>
        <v>33.199999999999996</v>
      </c>
      <c r="E21" s="36">
        <v>28.3</v>
      </c>
    </row>
    <row r="22" spans="1:7" ht="21.95" customHeight="1">
      <c r="A22" s="10" t="s">
        <v>27</v>
      </c>
      <c r="B22" s="6" t="s">
        <v>28</v>
      </c>
      <c r="C22" s="36">
        <f>C20/12/C21*1000</f>
        <v>91618.975903614468</v>
      </c>
      <c r="D22" s="36">
        <f t="shared" si="1"/>
        <v>91618.975903614468</v>
      </c>
      <c r="E22" s="36">
        <f t="shared" ref="E22" si="2">E20/12/E21*1000</f>
        <v>103080.68315665486</v>
      </c>
    </row>
    <row r="23" spans="1:7" ht="39">
      <c r="A23" s="14" t="s">
        <v>26</v>
      </c>
      <c r="B23" s="6" t="s">
        <v>2</v>
      </c>
      <c r="C23" s="54">
        <v>4474.1000000000004</v>
      </c>
      <c r="D23" s="19">
        <f t="shared" si="1"/>
        <v>4474.1000000000004</v>
      </c>
      <c r="E23" s="54">
        <v>4655.7</v>
      </c>
    </row>
    <row r="24" spans="1:7">
      <c r="A24" s="10" t="s">
        <v>4</v>
      </c>
      <c r="B24" s="11" t="s">
        <v>3</v>
      </c>
      <c r="C24" s="54">
        <v>4.5</v>
      </c>
      <c r="D24" s="19">
        <f t="shared" si="1"/>
        <v>4.5</v>
      </c>
      <c r="E24" s="54">
        <v>4.5</v>
      </c>
    </row>
    <row r="25" spans="1:7" ht="21.95" customHeight="1">
      <c r="A25" s="10" t="s">
        <v>27</v>
      </c>
      <c r="B25" s="6" t="s">
        <v>28</v>
      </c>
      <c r="C25" s="54">
        <f>C23/C24/12*1000</f>
        <v>82853.703703703708</v>
      </c>
      <c r="D25" s="19">
        <f t="shared" si="1"/>
        <v>82853.703703703708</v>
      </c>
      <c r="E25" s="54">
        <f t="shared" ref="E25" si="3">E23/E24/12*1000</f>
        <v>86216.666666666657</v>
      </c>
    </row>
    <row r="26" spans="1:7" ht="25.5">
      <c r="A26" s="7" t="s">
        <v>24</v>
      </c>
      <c r="B26" s="6" t="s">
        <v>2</v>
      </c>
      <c r="C26" s="54">
        <v>10877.4</v>
      </c>
      <c r="D26" s="19">
        <f t="shared" si="1"/>
        <v>10877.4</v>
      </c>
      <c r="E26" s="54">
        <v>12836.1</v>
      </c>
    </row>
    <row r="27" spans="1:7">
      <c r="A27" s="10" t="s">
        <v>4</v>
      </c>
      <c r="B27" s="11" t="s">
        <v>3</v>
      </c>
      <c r="C27" s="54">
        <v>19.75</v>
      </c>
      <c r="D27" s="19">
        <f t="shared" si="1"/>
        <v>19.75</v>
      </c>
      <c r="E27" s="54">
        <v>23.75</v>
      </c>
    </row>
    <row r="28" spans="1:7" ht="21.95" customHeight="1">
      <c r="A28" s="10" t="s">
        <v>27</v>
      </c>
      <c r="B28" s="6" t="s">
        <v>28</v>
      </c>
      <c r="C28" s="54">
        <f>C26/12/C27*1000</f>
        <v>45896.202531645562</v>
      </c>
      <c r="D28" s="19">
        <f t="shared" si="1"/>
        <v>45896.202531645562</v>
      </c>
      <c r="E28" s="54">
        <f t="shared" ref="E28" si="4">E26/12/E27*1000</f>
        <v>45038.947368421046</v>
      </c>
    </row>
    <row r="29" spans="1:7" ht="25.5">
      <c r="A29" s="5" t="s">
        <v>5</v>
      </c>
      <c r="B29" s="6" t="s">
        <v>2</v>
      </c>
      <c r="C29" s="19">
        <v>4858.2</v>
      </c>
      <c r="D29" s="19">
        <f t="shared" si="1"/>
        <v>4858.2</v>
      </c>
      <c r="E29" s="19">
        <v>4995</v>
      </c>
    </row>
    <row r="30" spans="1:7" ht="36.75">
      <c r="A30" s="12" t="s">
        <v>6</v>
      </c>
      <c r="B30" s="6" t="s">
        <v>2</v>
      </c>
      <c r="C30" s="19">
        <v>3081.3</v>
      </c>
      <c r="D30" s="19">
        <f t="shared" si="1"/>
        <v>3081.3</v>
      </c>
      <c r="E30" s="19">
        <v>10616.7</v>
      </c>
    </row>
    <row r="31" spans="1:7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7" ht="36.75">
      <c r="A32" s="12" t="s">
        <v>8</v>
      </c>
      <c r="B32" s="6" t="s">
        <v>2</v>
      </c>
      <c r="C32" s="19">
        <v>1031.0999999999999</v>
      </c>
      <c r="D32" s="19">
        <f t="shared" si="1"/>
        <v>1031.0999999999999</v>
      </c>
      <c r="E32" s="19">
        <v>1155.5</v>
      </c>
    </row>
    <row r="33" spans="1:5" ht="38.25" customHeight="1">
      <c r="A33" s="12" t="s">
        <v>9</v>
      </c>
      <c r="B33" s="6" t="s">
        <v>2</v>
      </c>
      <c r="C33" s="19">
        <f>656.9+3522.8</f>
        <v>4179.7</v>
      </c>
      <c r="D33" s="19">
        <f t="shared" si="1"/>
        <v>4179.7</v>
      </c>
      <c r="E33" s="19">
        <v>5189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F33" sqref="F33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72</v>
      </c>
      <c r="B2" s="43"/>
      <c r="C2" s="43"/>
      <c r="D2" s="43"/>
      <c r="E2" s="43"/>
    </row>
    <row r="3" spans="1:7">
      <c r="A3" s="1"/>
    </row>
    <row r="4" spans="1:7">
      <c r="A4" s="44" t="s">
        <v>43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276</v>
      </c>
      <c r="D11" s="36">
        <v>276</v>
      </c>
      <c r="E11" s="36">
        <v>276</v>
      </c>
    </row>
    <row r="12" spans="1:7" ht="25.5">
      <c r="A12" s="10" t="s">
        <v>25</v>
      </c>
      <c r="B12" s="6" t="s">
        <v>2</v>
      </c>
      <c r="C12" s="19">
        <f>(C13-C32)/C11</f>
        <v>256.0876811594203</v>
      </c>
      <c r="D12" s="19">
        <f t="shared" ref="D12:E12" si="0">(D13-D32)/D11</f>
        <v>256.0876811594203</v>
      </c>
      <c r="E12" s="19">
        <f t="shared" si="0"/>
        <v>304.63442028985509</v>
      </c>
    </row>
    <row r="13" spans="1:7" ht="25.5">
      <c r="A13" s="5" t="s">
        <v>11</v>
      </c>
      <c r="B13" s="6" t="s">
        <v>2</v>
      </c>
      <c r="C13" s="19">
        <v>71711.3</v>
      </c>
      <c r="D13" s="19">
        <f>C13</f>
        <v>71711.3</v>
      </c>
      <c r="E13" s="19">
        <f>E15+E29+E30+E31+E32+E33</f>
        <v>85255.5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62613.8</v>
      </c>
      <c r="D15" s="19">
        <f t="shared" si="1"/>
        <v>62613.8</v>
      </c>
      <c r="E15" s="19">
        <f>E17+E20+E23+E26</f>
        <v>63873.599999999999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36">
        <v>4679.3</v>
      </c>
      <c r="D17" s="19">
        <f t="shared" si="1"/>
        <v>4679.3</v>
      </c>
      <c r="E17" s="36">
        <v>4055.9</v>
      </c>
    </row>
    <row r="18" spans="1:5" s="23" customFormat="1">
      <c r="A18" s="27" t="s">
        <v>4</v>
      </c>
      <c r="B18" s="28" t="s">
        <v>3</v>
      </c>
      <c r="C18" s="52">
        <v>4</v>
      </c>
      <c r="D18" s="19">
        <f t="shared" si="1"/>
        <v>4</v>
      </c>
      <c r="E18" s="52">
        <v>3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97685.416666666672</v>
      </c>
      <c r="D19" s="19">
        <f t="shared" si="1"/>
        <v>97685.416666666672</v>
      </c>
      <c r="E19" s="36">
        <f>E17*1000/12/E18</f>
        <v>112663.88888888889</v>
      </c>
    </row>
    <row r="20" spans="1:5" s="23" customFormat="1" ht="25.5">
      <c r="A20" s="26" t="s">
        <v>63</v>
      </c>
      <c r="B20" s="21" t="s">
        <v>2</v>
      </c>
      <c r="C20" s="36">
        <v>40095.1</v>
      </c>
      <c r="D20" s="19">
        <f t="shared" si="1"/>
        <v>40095.1</v>
      </c>
      <c r="E20" s="36">
        <v>40419.199999999997</v>
      </c>
    </row>
    <row r="21" spans="1:5" s="23" customFormat="1">
      <c r="A21" s="27" t="s">
        <v>4</v>
      </c>
      <c r="B21" s="28" t="s">
        <v>3</v>
      </c>
      <c r="C21" s="52">
        <f>24+3.36</f>
        <v>27.36</v>
      </c>
      <c r="D21" s="19">
        <f t="shared" si="1"/>
        <v>27.36</v>
      </c>
      <c r="E21" s="52">
        <v>29.64</v>
      </c>
    </row>
    <row r="22" spans="1:5" s="23" customFormat="1" ht="21.95" customHeight="1">
      <c r="A22" s="27" t="s">
        <v>27</v>
      </c>
      <c r="B22" s="21" t="s">
        <v>28</v>
      </c>
      <c r="C22" s="36">
        <f>C20/12/C21*1000</f>
        <v>122122.01510721247</v>
      </c>
      <c r="D22" s="19">
        <f t="shared" si="1"/>
        <v>122122.01510721247</v>
      </c>
      <c r="E22" s="36">
        <f t="shared" ref="E22" si="2">E20/12/E21*1000</f>
        <v>113639.22627080521</v>
      </c>
    </row>
    <row r="23" spans="1:5" ht="39">
      <c r="A23" s="14" t="s">
        <v>26</v>
      </c>
      <c r="B23" s="6" t="s">
        <v>2</v>
      </c>
      <c r="C23" s="36">
        <v>4125.8</v>
      </c>
      <c r="D23" s="19">
        <f t="shared" si="1"/>
        <v>4125.8</v>
      </c>
      <c r="E23" s="36">
        <v>5703.5</v>
      </c>
    </row>
    <row r="24" spans="1:5">
      <c r="A24" s="10" t="s">
        <v>4</v>
      </c>
      <c r="B24" s="11" t="s">
        <v>3</v>
      </c>
      <c r="C24" s="52">
        <v>4.5</v>
      </c>
      <c r="D24" s="19">
        <f t="shared" si="1"/>
        <v>4.5</v>
      </c>
      <c r="E24" s="52">
        <v>6.5</v>
      </c>
    </row>
    <row r="25" spans="1:5" ht="21.95" customHeight="1">
      <c r="A25" s="10" t="s">
        <v>27</v>
      </c>
      <c r="B25" s="6" t="s">
        <v>28</v>
      </c>
      <c r="C25" s="36">
        <f>C23/C24/12*1000</f>
        <v>76403.703703703693</v>
      </c>
      <c r="D25" s="19">
        <f t="shared" si="1"/>
        <v>76403.703703703693</v>
      </c>
      <c r="E25" s="36">
        <f t="shared" ref="E25" si="3">E23/E24/12*1000</f>
        <v>73121.794871794875</v>
      </c>
    </row>
    <row r="26" spans="1:5" ht="25.5">
      <c r="A26" s="7" t="s">
        <v>24</v>
      </c>
      <c r="B26" s="6" t="s">
        <v>2</v>
      </c>
      <c r="C26" s="36">
        <v>10749.6</v>
      </c>
      <c r="D26" s="19">
        <f t="shared" si="1"/>
        <v>10749.6</v>
      </c>
      <c r="E26" s="36">
        <v>13695</v>
      </c>
    </row>
    <row r="27" spans="1:5">
      <c r="A27" s="10" t="s">
        <v>4</v>
      </c>
      <c r="B27" s="11" t="s">
        <v>3</v>
      </c>
      <c r="C27" s="52">
        <v>16.5</v>
      </c>
      <c r="D27" s="19">
        <f t="shared" si="1"/>
        <v>16.5</v>
      </c>
      <c r="E27" s="52">
        <v>22.05</v>
      </c>
    </row>
    <row r="28" spans="1:5" ht="21.95" customHeight="1">
      <c r="A28" s="10" t="s">
        <v>27</v>
      </c>
      <c r="B28" s="6" t="s">
        <v>28</v>
      </c>
      <c r="C28" s="36">
        <f>C26/12/C27*1000</f>
        <v>54290.909090909096</v>
      </c>
      <c r="D28" s="19">
        <f t="shared" si="1"/>
        <v>54290.909090909096</v>
      </c>
      <c r="E28" s="36">
        <f t="shared" ref="E28" si="4">E26/12/E27*1000</f>
        <v>51757.36961451247</v>
      </c>
    </row>
    <row r="29" spans="1:5" ht="25.5">
      <c r="A29" s="5" t="s">
        <v>5</v>
      </c>
      <c r="B29" s="6" t="s">
        <v>2</v>
      </c>
      <c r="C29" s="36">
        <v>2964</v>
      </c>
      <c r="D29" s="19">
        <f t="shared" si="1"/>
        <v>2964</v>
      </c>
      <c r="E29" s="36">
        <v>3964</v>
      </c>
    </row>
    <row r="30" spans="1:5" ht="36.75">
      <c r="A30" s="12" t="s">
        <v>6</v>
      </c>
      <c r="B30" s="6" t="s">
        <v>2</v>
      </c>
      <c r="C30" s="19">
        <v>2660.7</v>
      </c>
      <c r="D30" s="19">
        <f t="shared" si="1"/>
        <v>2660.7</v>
      </c>
      <c r="E30" s="19">
        <v>10334.5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1031.0999999999999</v>
      </c>
      <c r="D32" s="19">
        <f t="shared" si="1"/>
        <v>1031.0999999999999</v>
      </c>
      <c r="E32" s="19">
        <v>1176.4000000000001</v>
      </c>
    </row>
    <row r="33" spans="1:5" ht="38.25" customHeight="1">
      <c r="A33" s="12" t="s">
        <v>9</v>
      </c>
      <c r="B33" s="6" t="s">
        <v>2</v>
      </c>
      <c r="C33" s="19">
        <f>567.7+4838</f>
        <v>5405.7</v>
      </c>
      <c r="D33" s="19">
        <f t="shared" si="1"/>
        <v>5405.7</v>
      </c>
      <c r="E33" s="19">
        <v>5907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E33" sqref="E33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67</v>
      </c>
      <c r="B2" s="43"/>
      <c r="C2" s="43"/>
      <c r="D2" s="43"/>
      <c r="E2" s="43"/>
    </row>
    <row r="3" spans="1:7">
      <c r="A3" s="1"/>
    </row>
    <row r="4" spans="1:7">
      <c r="A4" s="44" t="s">
        <v>65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6" t="s">
        <v>16</v>
      </c>
      <c r="D9" s="46"/>
      <c r="E9" s="46"/>
    </row>
    <row r="10" spans="1:7" ht="40.5">
      <c r="A10" s="46"/>
      <c r="B10" s="47"/>
      <c r="C10" s="16" t="s">
        <v>20</v>
      </c>
      <c r="D10" s="16" t="s">
        <v>21</v>
      </c>
      <c r="E10" s="15" t="s">
        <v>14</v>
      </c>
    </row>
    <row r="11" spans="1:7">
      <c r="A11" s="5" t="s">
        <v>22</v>
      </c>
      <c r="B11" s="6" t="s">
        <v>10</v>
      </c>
      <c r="C11" s="22">
        <v>14</v>
      </c>
      <c r="D11" s="22">
        <v>14</v>
      </c>
      <c r="E11" s="22">
        <v>14</v>
      </c>
    </row>
    <row r="12" spans="1:7" ht="25.5">
      <c r="A12" s="10" t="s">
        <v>25</v>
      </c>
      <c r="B12" s="6" t="s">
        <v>2</v>
      </c>
      <c r="C12" s="17">
        <f>(C13-C32)/C11</f>
        <v>702</v>
      </c>
      <c r="D12" s="17">
        <f t="shared" ref="D12:E12" si="0">(D13-D32)/D11</f>
        <v>702</v>
      </c>
      <c r="E12" s="17">
        <f t="shared" si="0"/>
        <v>1018.6571428571427</v>
      </c>
    </row>
    <row r="13" spans="1:7" ht="25.5">
      <c r="A13" s="5" t="s">
        <v>11</v>
      </c>
      <c r="B13" s="6" t="s">
        <v>2</v>
      </c>
      <c r="C13" s="17">
        <v>9828</v>
      </c>
      <c r="D13" s="17">
        <f>C13</f>
        <v>9828</v>
      </c>
      <c r="E13" s="17">
        <f>E15+E29+E30+E31+E32+E33</f>
        <v>14261.199999999999</v>
      </c>
    </row>
    <row r="14" spans="1:7">
      <c r="A14" s="8" t="s">
        <v>0</v>
      </c>
      <c r="B14" s="9"/>
      <c r="C14" s="17"/>
      <c r="D14" s="17">
        <f t="shared" ref="D14:D33" si="1">C14</f>
        <v>0</v>
      </c>
      <c r="E14" s="17"/>
      <c r="G14" s="18"/>
    </row>
    <row r="15" spans="1:7" ht="25.5">
      <c r="A15" s="5" t="s">
        <v>12</v>
      </c>
      <c r="B15" s="6" t="s">
        <v>2</v>
      </c>
      <c r="C15" s="17">
        <v>6069.3</v>
      </c>
      <c r="D15" s="17">
        <f t="shared" si="1"/>
        <v>6069.3</v>
      </c>
      <c r="E15" s="17">
        <f>E20+E23+E26</f>
        <v>9844.5</v>
      </c>
    </row>
    <row r="16" spans="1:7">
      <c r="A16" s="8" t="s">
        <v>1</v>
      </c>
      <c r="B16" s="9"/>
      <c r="C16" s="17"/>
      <c r="D16" s="17">
        <f t="shared" si="1"/>
        <v>0</v>
      </c>
      <c r="E16" s="17"/>
    </row>
    <row r="17" spans="1:5" s="23" customFormat="1" ht="25.5">
      <c r="A17" s="26" t="s">
        <v>62</v>
      </c>
      <c r="B17" s="21" t="s">
        <v>2</v>
      </c>
      <c r="C17" s="32"/>
      <c r="D17" s="17">
        <f t="shared" si="1"/>
        <v>0</v>
      </c>
      <c r="E17" s="32"/>
    </row>
    <row r="18" spans="1:5" s="23" customFormat="1">
      <c r="A18" s="27" t="s">
        <v>4</v>
      </c>
      <c r="B18" s="28" t="s">
        <v>3</v>
      </c>
      <c r="C18" s="33"/>
      <c r="D18" s="17">
        <f t="shared" si="1"/>
        <v>0</v>
      </c>
      <c r="E18" s="33"/>
    </row>
    <row r="19" spans="1:5" s="23" customFormat="1" ht="21.95" customHeight="1">
      <c r="A19" s="27" t="s">
        <v>27</v>
      </c>
      <c r="B19" s="21" t="s">
        <v>28</v>
      </c>
      <c r="C19" s="32"/>
      <c r="D19" s="17">
        <f t="shared" si="1"/>
        <v>0</v>
      </c>
      <c r="E19" s="32"/>
    </row>
    <row r="20" spans="1:5" s="23" customFormat="1" ht="25.5">
      <c r="A20" s="26" t="s">
        <v>63</v>
      </c>
      <c r="B20" s="21" t="s">
        <v>2</v>
      </c>
      <c r="C20" s="32">
        <v>3638</v>
      </c>
      <c r="D20" s="17">
        <f t="shared" si="1"/>
        <v>3638</v>
      </c>
      <c r="E20" s="32">
        <v>6992.9</v>
      </c>
    </row>
    <row r="21" spans="1:5">
      <c r="A21" s="10" t="s">
        <v>4</v>
      </c>
      <c r="B21" s="11" t="s">
        <v>3</v>
      </c>
      <c r="C21" s="33">
        <f>4.3-0.9</f>
        <v>3.4</v>
      </c>
      <c r="D21" s="17">
        <f t="shared" si="1"/>
        <v>3.4</v>
      </c>
      <c r="E21" s="33">
        <v>5.74</v>
      </c>
    </row>
    <row r="22" spans="1:5" ht="21.95" customHeight="1">
      <c r="A22" s="10" t="s">
        <v>27</v>
      </c>
      <c r="B22" s="6" t="s">
        <v>28</v>
      </c>
      <c r="C22" s="32">
        <f>C20/12/C21*1000</f>
        <v>89166.666666666672</v>
      </c>
      <c r="D22" s="17">
        <f t="shared" si="1"/>
        <v>89166.666666666672</v>
      </c>
      <c r="E22" s="32">
        <f t="shared" ref="E22" si="2">E20/12/E21*1000</f>
        <v>101522.93844367014</v>
      </c>
    </row>
    <row r="23" spans="1:5" ht="39">
      <c r="A23" s="14" t="s">
        <v>26</v>
      </c>
      <c r="B23" s="6" t="s">
        <v>2</v>
      </c>
      <c r="C23" s="32">
        <v>97.706000000000003</v>
      </c>
      <c r="D23" s="17">
        <f t="shared" si="1"/>
        <v>97.706000000000003</v>
      </c>
      <c r="E23" s="32">
        <v>164.8</v>
      </c>
    </row>
    <row r="24" spans="1:5">
      <c r="A24" s="10" t="s">
        <v>4</v>
      </c>
      <c r="B24" s="11" t="s">
        <v>3</v>
      </c>
      <c r="C24" s="33">
        <v>0.25</v>
      </c>
      <c r="D24" s="17">
        <f t="shared" si="1"/>
        <v>0.25</v>
      </c>
      <c r="E24" s="33">
        <v>0.25</v>
      </c>
    </row>
    <row r="25" spans="1:5" ht="21.95" customHeight="1">
      <c r="A25" s="10" t="s">
        <v>27</v>
      </c>
      <c r="B25" s="6" t="s">
        <v>28</v>
      </c>
      <c r="C25" s="32">
        <f>C23/C24/12*1000</f>
        <v>32568.666666666664</v>
      </c>
      <c r="D25" s="17">
        <f t="shared" si="1"/>
        <v>32568.666666666664</v>
      </c>
      <c r="E25" s="32">
        <f t="shared" ref="E25" si="3">E23/E24/12*1000</f>
        <v>54933.333333333336</v>
      </c>
    </row>
    <row r="26" spans="1:5" ht="25.5">
      <c r="A26" s="7" t="s">
        <v>24</v>
      </c>
      <c r="B26" s="6" t="s">
        <v>2</v>
      </c>
      <c r="C26" s="32">
        <v>1721.2</v>
      </c>
      <c r="D26" s="17">
        <f t="shared" si="1"/>
        <v>1721.2</v>
      </c>
      <c r="E26" s="32">
        <v>2686.8</v>
      </c>
    </row>
    <row r="27" spans="1:5">
      <c r="A27" s="10" t="s">
        <v>4</v>
      </c>
      <c r="B27" s="11" t="s">
        <v>3</v>
      </c>
      <c r="C27" s="33">
        <v>3.5</v>
      </c>
      <c r="D27" s="17">
        <f t="shared" si="1"/>
        <v>3.5</v>
      </c>
      <c r="E27" s="33">
        <v>4.8</v>
      </c>
    </row>
    <row r="28" spans="1:5" ht="21.95" customHeight="1">
      <c r="A28" s="10" t="s">
        <v>27</v>
      </c>
      <c r="B28" s="6" t="s">
        <v>28</v>
      </c>
      <c r="C28" s="32">
        <f>C26/12/C27*1000</f>
        <v>40980.952380952382</v>
      </c>
      <c r="D28" s="17">
        <f t="shared" si="1"/>
        <v>40980.952380952382</v>
      </c>
      <c r="E28" s="32">
        <f t="shared" ref="E28" si="4">E26/12/E27*1000</f>
        <v>46645.833333333336</v>
      </c>
    </row>
    <row r="29" spans="1:5" ht="25.5">
      <c r="A29" s="5" t="s">
        <v>5</v>
      </c>
      <c r="B29" s="6" t="s">
        <v>2</v>
      </c>
      <c r="C29" s="17">
        <v>612.5</v>
      </c>
      <c r="D29" s="17">
        <f t="shared" si="1"/>
        <v>612.5</v>
      </c>
      <c r="E29" s="17">
        <v>658</v>
      </c>
    </row>
    <row r="30" spans="1:5" ht="36.75">
      <c r="A30" s="12" t="s">
        <v>6</v>
      </c>
      <c r="B30" s="6" t="s">
        <v>2</v>
      </c>
      <c r="C30" s="17">
        <v>1080.3</v>
      </c>
      <c r="D30" s="17">
        <f t="shared" si="1"/>
        <v>1080.3</v>
      </c>
      <c r="E30" s="17">
        <f>D30</f>
        <v>1080.3</v>
      </c>
    </row>
    <row r="31" spans="1:5" ht="25.5">
      <c r="A31" s="12" t="s">
        <v>7</v>
      </c>
      <c r="B31" s="6" t="s">
        <v>2</v>
      </c>
      <c r="C31" s="17">
        <v>0</v>
      </c>
      <c r="D31" s="17">
        <f t="shared" si="1"/>
        <v>0</v>
      </c>
      <c r="E31" s="17">
        <v>0</v>
      </c>
    </row>
    <row r="32" spans="1:5" ht="36.75">
      <c r="A32" s="12" t="s">
        <v>8</v>
      </c>
      <c r="B32" s="6" t="s">
        <v>2</v>
      </c>
      <c r="C32" s="17">
        <v>0</v>
      </c>
      <c r="D32" s="17">
        <f t="shared" si="1"/>
        <v>0</v>
      </c>
      <c r="E32" s="17">
        <v>0</v>
      </c>
    </row>
    <row r="33" spans="1:5" ht="38.25" customHeight="1">
      <c r="A33" s="12" t="s">
        <v>9</v>
      </c>
      <c r="B33" s="6" t="s">
        <v>2</v>
      </c>
      <c r="C33" s="17">
        <f>406.2+2272.2</f>
        <v>2678.3999999999996</v>
      </c>
      <c r="D33" s="17">
        <f t="shared" si="1"/>
        <v>2678.3999999999996</v>
      </c>
      <c r="E33" s="17">
        <f>D33</f>
        <v>2678.3999999999996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F32" sqref="F32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67</v>
      </c>
      <c r="B2" s="43"/>
      <c r="C2" s="43"/>
      <c r="D2" s="43"/>
      <c r="E2" s="43"/>
    </row>
    <row r="3" spans="1:7">
      <c r="A3" s="1"/>
    </row>
    <row r="4" spans="1:7">
      <c r="A4" s="44" t="s">
        <v>44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119</v>
      </c>
      <c r="D11" s="36">
        <v>119</v>
      </c>
      <c r="E11" s="36">
        <v>119</v>
      </c>
    </row>
    <row r="12" spans="1:7" ht="25.5">
      <c r="A12" s="10" t="s">
        <v>25</v>
      </c>
      <c r="B12" s="6" t="s">
        <v>2</v>
      </c>
      <c r="C12" s="19">
        <f>(C13-C32)/C11</f>
        <v>671.59831932773102</v>
      </c>
      <c r="D12" s="19">
        <f t="shared" ref="D12:E12" si="0">(D13-D32)/D11</f>
        <v>671.59831932773102</v>
      </c>
      <c r="E12" s="19">
        <f t="shared" si="0"/>
        <v>746.32016806722697</v>
      </c>
    </row>
    <row r="13" spans="1:7" ht="25.5">
      <c r="A13" s="5" t="s">
        <v>11</v>
      </c>
      <c r="B13" s="6" t="s">
        <v>2</v>
      </c>
      <c r="C13" s="19">
        <v>79920.2</v>
      </c>
      <c r="D13" s="19">
        <f>C13</f>
        <v>79920.2</v>
      </c>
      <c r="E13" s="19">
        <f>E15+E29+E30+E31+E32+E33</f>
        <v>88902.6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60336.3</v>
      </c>
      <c r="D15" s="19">
        <f t="shared" si="1"/>
        <v>60336.3</v>
      </c>
      <c r="E15" s="19">
        <f>E17+E20+E23+E26</f>
        <v>56566.5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54">
        <v>4679.3</v>
      </c>
      <c r="D17" s="19">
        <f t="shared" si="1"/>
        <v>4679.3</v>
      </c>
      <c r="E17" s="54">
        <v>4231.6000000000004</v>
      </c>
    </row>
    <row r="18" spans="1:5" s="23" customFormat="1">
      <c r="A18" s="27" t="s">
        <v>4</v>
      </c>
      <c r="B18" s="28" t="s">
        <v>3</v>
      </c>
      <c r="C18" s="55">
        <v>3</v>
      </c>
      <c r="D18" s="19">
        <f t="shared" si="1"/>
        <v>3</v>
      </c>
      <c r="E18" s="55">
        <v>3</v>
      </c>
    </row>
    <row r="19" spans="1:5" s="23" customFormat="1" ht="21.95" customHeight="1">
      <c r="A19" s="27" t="s">
        <v>27</v>
      </c>
      <c r="B19" s="21" t="s">
        <v>28</v>
      </c>
      <c r="C19" s="54">
        <f>C17/C18/12*1000+200</f>
        <v>130180.55555555555</v>
      </c>
      <c r="D19" s="19">
        <f t="shared" si="1"/>
        <v>130180.55555555555</v>
      </c>
      <c r="E19" s="54">
        <f>E17*1000/12/E18</f>
        <v>117544.44444444444</v>
      </c>
    </row>
    <row r="20" spans="1:5" s="23" customFormat="1" ht="25.5">
      <c r="A20" s="26" t="s">
        <v>63</v>
      </c>
      <c r="B20" s="21" t="s">
        <v>2</v>
      </c>
      <c r="C20" s="54">
        <v>35147.699999999997</v>
      </c>
      <c r="D20" s="19">
        <f t="shared" si="1"/>
        <v>35147.699999999997</v>
      </c>
      <c r="E20" s="54">
        <v>29570.2</v>
      </c>
    </row>
    <row r="21" spans="1:5" s="23" customFormat="1">
      <c r="A21" s="27" t="s">
        <v>4</v>
      </c>
      <c r="B21" s="28" t="s">
        <v>3</v>
      </c>
      <c r="C21" s="55">
        <f>18.9+8.54</f>
        <v>27.439999999999998</v>
      </c>
      <c r="D21" s="19">
        <f t="shared" si="1"/>
        <v>27.439999999999998</v>
      </c>
      <c r="E21" s="55">
        <v>23.2</v>
      </c>
    </row>
    <row r="22" spans="1:5" s="23" customFormat="1" ht="21.95" customHeight="1">
      <c r="A22" s="27" t="s">
        <v>27</v>
      </c>
      <c r="B22" s="21" t="s">
        <v>28</v>
      </c>
      <c r="C22" s="54">
        <f>C20/12/C21*1000</f>
        <v>106741.07142857143</v>
      </c>
      <c r="D22" s="19">
        <f t="shared" si="1"/>
        <v>106741.07142857143</v>
      </c>
      <c r="E22" s="54">
        <f t="shared" ref="E22" si="2">E20/12/E21*1000</f>
        <v>106214.79885057472</v>
      </c>
    </row>
    <row r="23" spans="1:5" ht="39">
      <c r="A23" s="14" t="s">
        <v>26</v>
      </c>
      <c r="B23" s="6" t="s">
        <v>2</v>
      </c>
      <c r="C23" s="54">
        <v>2989.8</v>
      </c>
      <c r="D23" s="19">
        <f t="shared" si="1"/>
        <v>2989.8</v>
      </c>
      <c r="E23" s="54">
        <v>3998.6</v>
      </c>
    </row>
    <row r="24" spans="1:5">
      <c r="A24" s="10" t="s">
        <v>4</v>
      </c>
      <c r="B24" s="11" t="s">
        <v>3</v>
      </c>
      <c r="C24" s="55">
        <v>2.5</v>
      </c>
      <c r="D24" s="19">
        <f t="shared" si="1"/>
        <v>2.5</v>
      </c>
      <c r="E24" s="55">
        <v>4</v>
      </c>
    </row>
    <row r="25" spans="1:5" ht="21.95" customHeight="1">
      <c r="A25" s="10" t="s">
        <v>27</v>
      </c>
      <c r="B25" s="6" t="s">
        <v>28</v>
      </c>
      <c r="C25" s="54">
        <f>C23/C24/12*1000</f>
        <v>99660.000000000015</v>
      </c>
      <c r="D25" s="19">
        <f t="shared" si="1"/>
        <v>99660.000000000015</v>
      </c>
      <c r="E25" s="54">
        <f t="shared" ref="E25" si="3">E23/E24/12*1000</f>
        <v>83304.166666666657</v>
      </c>
    </row>
    <row r="26" spans="1:5" ht="25.5">
      <c r="A26" s="7" t="s">
        <v>24</v>
      </c>
      <c r="B26" s="6" t="s">
        <v>2</v>
      </c>
      <c r="C26" s="54">
        <v>13555.9</v>
      </c>
      <c r="D26" s="19">
        <f t="shared" si="1"/>
        <v>13555.9</v>
      </c>
      <c r="E26" s="54">
        <v>18766.099999999999</v>
      </c>
    </row>
    <row r="27" spans="1:5">
      <c r="A27" s="10" t="s">
        <v>4</v>
      </c>
      <c r="B27" s="11" t="s">
        <v>3</v>
      </c>
      <c r="C27" s="55">
        <v>24.1</v>
      </c>
      <c r="D27" s="19">
        <f t="shared" si="1"/>
        <v>24.1</v>
      </c>
      <c r="E27" s="55">
        <v>32.54</v>
      </c>
    </row>
    <row r="28" spans="1:5" ht="21.95" customHeight="1">
      <c r="A28" s="10" t="s">
        <v>27</v>
      </c>
      <c r="B28" s="6" t="s">
        <v>28</v>
      </c>
      <c r="C28" s="54">
        <f>C26/12/C27*1000</f>
        <v>46873.789764868598</v>
      </c>
      <c r="D28" s="19">
        <f t="shared" si="1"/>
        <v>46873.789764868598</v>
      </c>
      <c r="E28" s="54">
        <f t="shared" ref="E28" si="4">E26/12/E27*1000</f>
        <v>48059.055521409544</v>
      </c>
    </row>
    <row r="29" spans="1:5" ht="25.5">
      <c r="A29" s="5" t="s">
        <v>5</v>
      </c>
      <c r="B29" s="6" t="s">
        <v>2</v>
      </c>
      <c r="C29" s="19">
        <v>3963.6</v>
      </c>
      <c r="D29" s="19">
        <f t="shared" si="1"/>
        <v>3963.6</v>
      </c>
      <c r="E29" s="19">
        <v>4966</v>
      </c>
    </row>
    <row r="30" spans="1:5" ht="36.75">
      <c r="A30" s="12" t="s">
        <v>6</v>
      </c>
      <c r="B30" s="6" t="s">
        <v>2</v>
      </c>
      <c r="C30" s="19">
        <v>3475.9</v>
      </c>
      <c r="D30" s="19">
        <f t="shared" si="1"/>
        <v>3475.9</v>
      </c>
      <c r="E30" s="19">
        <v>7739.6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90.5</v>
      </c>
    </row>
    <row r="33" spans="1:5" ht="38.25" customHeight="1">
      <c r="A33" s="12" t="s">
        <v>9</v>
      </c>
      <c r="B33" s="6" t="s">
        <v>2</v>
      </c>
      <c r="C33" s="19">
        <f>753.9+15354.1</f>
        <v>16108</v>
      </c>
      <c r="D33" s="19">
        <f t="shared" si="1"/>
        <v>16108</v>
      </c>
      <c r="E33" s="19">
        <v>19540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E33" sqref="E33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68</v>
      </c>
      <c r="B2" s="43"/>
      <c r="C2" s="43"/>
      <c r="D2" s="43"/>
      <c r="E2" s="43"/>
    </row>
    <row r="3" spans="1:7">
      <c r="A3" s="1"/>
    </row>
    <row r="4" spans="1:7">
      <c r="A4" s="44" t="s">
        <v>45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69</v>
      </c>
      <c r="D11" s="19">
        <v>69</v>
      </c>
      <c r="E11" s="19">
        <v>69</v>
      </c>
    </row>
    <row r="12" spans="1:7" ht="25.5">
      <c r="A12" s="10" t="s">
        <v>25</v>
      </c>
      <c r="B12" s="6" t="s">
        <v>2</v>
      </c>
      <c r="C12" s="19">
        <f>(C13-C32)/C11</f>
        <v>539.0101449275362</v>
      </c>
      <c r="D12" s="19">
        <f t="shared" ref="D12:E12" si="0">(D13-D32)/D11</f>
        <v>539.0101449275362</v>
      </c>
      <c r="E12" s="19">
        <f t="shared" si="0"/>
        <v>770.70289855072463</v>
      </c>
    </row>
    <row r="13" spans="1:7" ht="25.5">
      <c r="A13" s="5" t="s">
        <v>11</v>
      </c>
      <c r="B13" s="6" t="s">
        <v>2</v>
      </c>
      <c r="C13" s="19">
        <v>37191.699999999997</v>
      </c>
      <c r="D13" s="19">
        <f>C13</f>
        <v>37191.699999999997</v>
      </c>
      <c r="E13" s="19">
        <f>E15+E29+E30+E31+E32+E33</f>
        <v>53374.5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25943.4</v>
      </c>
      <c r="D15" s="19">
        <f t="shared" si="1"/>
        <v>25943.4</v>
      </c>
      <c r="E15" s="19">
        <f>E17+E20+E23+E26</f>
        <v>35949.9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54">
        <v>1979.3</v>
      </c>
      <c r="D17" s="19">
        <f t="shared" si="1"/>
        <v>1979.3</v>
      </c>
      <c r="E17" s="54">
        <v>2861.2</v>
      </c>
    </row>
    <row r="18" spans="1:5" s="23" customFormat="1">
      <c r="A18" s="27" t="s">
        <v>4</v>
      </c>
      <c r="B18" s="28" t="s">
        <v>3</v>
      </c>
      <c r="C18" s="55">
        <v>2</v>
      </c>
      <c r="D18" s="19">
        <f t="shared" si="1"/>
        <v>2</v>
      </c>
      <c r="E18" s="55">
        <v>2</v>
      </c>
    </row>
    <row r="19" spans="1:5" s="23" customFormat="1" ht="21.95" customHeight="1">
      <c r="A19" s="27" t="s">
        <v>27</v>
      </c>
      <c r="B19" s="21" t="s">
        <v>28</v>
      </c>
      <c r="C19" s="54">
        <f>C17/C18/12*1000+200</f>
        <v>82670.833333333328</v>
      </c>
      <c r="D19" s="19">
        <f t="shared" si="1"/>
        <v>82670.833333333328</v>
      </c>
      <c r="E19" s="54">
        <f>E17*1000/12/E18</f>
        <v>119216.66666666667</v>
      </c>
    </row>
    <row r="20" spans="1:5" s="23" customFormat="1" ht="25.5">
      <c r="A20" s="26" t="s">
        <v>63</v>
      </c>
      <c r="B20" s="21" t="s">
        <v>2</v>
      </c>
      <c r="C20" s="54">
        <v>13504</v>
      </c>
      <c r="D20" s="19">
        <f t="shared" si="1"/>
        <v>13504</v>
      </c>
      <c r="E20" s="54">
        <v>22866.1</v>
      </c>
    </row>
    <row r="21" spans="1:5" s="23" customFormat="1">
      <c r="A21" s="27" t="s">
        <v>4</v>
      </c>
      <c r="B21" s="28" t="s">
        <v>3</v>
      </c>
      <c r="C21" s="55">
        <f>14.7-3.9</f>
        <v>10.799999999999999</v>
      </c>
      <c r="D21" s="19">
        <f t="shared" si="1"/>
        <v>10.799999999999999</v>
      </c>
      <c r="E21" s="55">
        <v>18.399999999999999</v>
      </c>
    </row>
    <row r="22" spans="1:5" ht="21.95" customHeight="1">
      <c r="A22" s="10" t="s">
        <v>27</v>
      </c>
      <c r="B22" s="6" t="s">
        <v>28</v>
      </c>
      <c r="C22" s="54">
        <f>C20/12/C21*1000</f>
        <v>104197.53086419753</v>
      </c>
      <c r="D22" s="19">
        <f t="shared" si="1"/>
        <v>104197.53086419753</v>
      </c>
      <c r="E22" s="54">
        <f t="shared" ref="E22" si="2">E20/12/E21*1000</f>
        <v>103560.23550724637</v>
      </c>
    </row>
    <row r="23" spans="1:5" ht="39">
      <c r="A23" s="14" t="s">
        <v>26</v>
      </c>
      <c r="B23" s="6" t="s">
        <v>2</v>
      </c>
      <c r="C23" s="54">
        <v>1389.8</v>
      </c>
      <c r="D23" s="19">
        <f t="shared" si="1"/>
        <v>1389.8</v>
      </c>
      <c r="E23" s="54">
        <v>2183.5</v>
      </c>
    </row>
    <row r="24" spans="1:5">
      <c r="A24" s="10" t="s">
        <v>4</v>
      </c>
      <c r="B24" s="11" t="s">
        <v>3</v>
      </c>
      <c r="C24" s="55">
        <v>1.5</v>
      </c>
      <c r="D24" s="19">
        <f t="shared" si="1"/>
        <v>1.5</v>
      </c>
      <c r="E24" s="55">
        <v>2.5</v>
      </c>
    </row>
    <row r="25" spans="1:5" ht="21.95" customHeight="1">
      <c r="A25" s="10" t="s">
        <v>27</v>
      </c>
      <c r="B25" s="6" t="s">
        <v>28</v>
      </c>
      <c r="C25" s="54">
        <f>C23/C24/12*1000</f>
        <v>77211.111111111109</v>
      </c>
      <c r="D25" s="19">
        <f t="shared" si="1"/>
        <v>77211.111111111109</v>
      </c>
      <c r="E25" s="54">
        <f t="shared" ref="E25" si="3">E23/E24/12*1000</f>
        <v>72783.333333333328</v>
      </c>
    </row>
    <row r="26" spans="1:5" ht="25.5">
      <c r="A26" s="7" t="s">
        <v>24</v>
      </c>
      <c r="B26" s="6" t="s">
        <v>2</v>
      </c>
      <c r="C26" s="54">
        <v>6555.9</v>
      </c>
      <c r="D26" s="19">
        <f t="shared" si="1"/>
        <v>6555.9</v>
      </c>
      <c r="E26" s="54">
        <v>8039.1</v>
      </c>
    </row>
    <row r="27" spans="1:5">
      <c r="A27" s="10" t="s">
        <v>4</v>
      </c>
      <c r="B27" s="11" t="s">
        <v>3</v>
      </c>
      <c r="C27" s="55">
        <v>12.5</v>
      </c>
      <c r="D27" s="19">
        <f t="shared" si="1"/>
        <v>12.5</v>
      </c>
      <c r="E27" s="55">
        <v>16.75</v>
      </c>
    </row>
    <row r="28" spans="1:5" ht="21.95" customHeight="1">
      <c r="A28" s="10" t="s">
        <v>27</v>
      </c>
      <c r="B28" s="6" t="s">
        <v>28</v>
      </c>
      <c r="C28" s="54">
        <f>C26/12/C27*1000</f>
        <v>43705.999999999993</v>
      </c>
      <c r="D28" s="19">
        <f t="shared" si="1"/>
        <v>43705.999999999993</v>
      </c>
      <c r="E28" s="54">
        <f t="shared" ref="E28" si="4">E26/12/E27*1000</f>
        <v>39995.522388059704</v>
      </c>
    </row>
    <row r="29" spans="1:5" ht="25.5">
      <c r="A29" s="5" t="s">
        <v>5</v>
      </c>
      <c r="B29" s="6" t="s">
        <v>2</v>
      </c>
      <c r="C29" s="19">
        <v>2514.6999999999998</v>
      </c>
      <c r="D29" s="19">
        <f t="shared" si="1"/>
        <v>2514.6999999999998</v>
      </c>
      <c r="E29" s="19">
        <v>2957</v>
      </c>
    </row>
    <row r="30" spans="1:5" ht="36.75">
      <c r="A30" s="12" t="s">
        <v>6</v>
      </c>
      <c r="B30" s="6" t="s">
        <v>2</v>
      </c>
      <c r="C30" s="19">
        <v>2204.3000000000002</v>
      </c>
      <c r="D30" s="19">
        <f t="shared" si="1"/>
        <v>2204.3000000000002</v>
      </c>
      <c r="E30" s="19">
        <v>3683.6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56">
        <v>0</v>
      </c>
      <c r="D32" s="19">
        <f t="shared" si="1"/>
        <v>0</v>
      </c>
      <c r="E32" s="56">
        <v>196</v>
      </c>
    </row>
    <row r="33" spans="1:5" ht="38.25" customHeight="1">
      <c r="A33" s="12" t="s">
        <v>9</v>
      </c>
      <c r="B33" s="6" t="s">
        <v>2</v>
      </c>
      <c r="C33" s="56">
        <f>567.9+8476.1</f>
        <v>9044</v>
      </c>
      <c r="D33" s="19">
        <f t="shared" si="1"/>
        <v>9044</v>
      </c>
      <c r="E33" s="56">
        <v>10588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33"/>
  <sheetViews>
    <sheetView topLeftCell="A17" workbookViewId="0">
      <selection activeCell="F33" sqref="F3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8" customWidth="1"/>
    <col min="5" max="5" width="12" style="53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69</v>
      </c>
      <c r="B2" s="43"/>
      <c r="C2" s="43"/>
      <c r="D2" s="43"/>
      <c r="E2" s="43"/>
    </row>
    <row r="3" spans="1:7">
      <c r="A3" s="1"/>
    </row>
    <row r="4" spans="1:7">
      <c r="A4" s="44" t="s">
        <v>64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163</v>
      </c>
      <c r="D11" s="19">
        <v>163</v>
      </c>
      <c r="E11" s="19">
        <v>163</v>
      </c>
    </row>
    <row r="12" spans="1:7" ht="25.5">
      <c r="A12" s="10" t="s">
        <v>25</v>
      </c>
      <c r="B12" s="6" t="s">
        <v>2</v>
      </c>
      <c r="C12" s="19">
        <f>(C13-C32)/C11</f>
        <v>399.11288343558283</v>
      </c>
      <c r="D12" s="19">
        <f t="shared" ref="D12:E12" si="0">(D13-D32)/D11</f>
        <v>399.11288343558283</v>
      </c>
      <c r="E12" s="19">
        <f t="shared" si="0"/>
        <v>460.07484662576684</v>
      </c>
    </row>
    <row r="13" spans="1:7" ht="25.5">
      <c r="A13" s="5" t="s">
        <v>11</v>
      </c>
      <c r="B13" s="6" t="s">
        <v>2</v>
      </c>
      <c r="C13" s="19">
        <v>65055.4</v>
      </c>
      <c r="D13" s="19">
        <f>C13</f>
        <v>65055.4</v>
      </c>
      <c r="E13" s="19">
        <f>E15+E30+E32+E33</f>
        <v>75137.5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50352.5</v>
      </c>
      <c r="D15" s="19">
        <f t="shared" si="1"/>
        <v>50352.5</v>
      </c>
      <c r="E15" s="19">
        <f>E17+E20+E23+E26</f>
        <v>47688.1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54">
        <v>3458.3</v>
      </c>
      <c r="D17" s="19">
        <f t="shared" si="1"/>
        <v>3458.3</v>
      </c>
      <c r="E17" s="54">
        <v>4268.8</v>
      </c>
    </row>
    <row r="18" spans="1:5" s="23" customFormat="1">
      <c r="A18" s="27" t="s">
        <v>4</v>
      </c>
      <c r="B18" s="28" t="s">
        <v>3</v>
      </c>
      <c r="C18" s="55">
        <v>3</v>
      </c>
      <c r="D18" s="19">
        <f t="shared" si="1"/>
        <v>3</v>
      </c>
      <c r="E18" s="54">
        <v>3</v>
      </c>
    </row>
    <row r="19" spans="1:5" s="23" customFormat="1" ht="21.95" customHeight="1">
      <c r="A19" s="27" t="s">
        <v>27</v>
      </c>
      <c r="B19" s="21" t="s">
        <v>28</v>
      </c>
      <c r="C19" s="54">
        <f>C17/C18/12*1000+200</f>
        <v>96263.888888888876</v>
      </c>
      <c r="D19" s="19">
        <f t="shared" si="1"/>
        <v>96263.888888888876</v>
      </c>
      <c r="E19" s="54">
        <f>E17*1000/12/E18</f>
        <v>118577.77777777777</v>
      </c>
    </row>
    <row r="20" spans="1:5" s="23" customFormat="1" ht="25.5">
      <c r="A20" s="26" t="s">
        <v>63</v>
      </c>
      <c r="B20" s="21" t="s">
        <v>2</v>
      </c>
      <c r="C20" s="54">
        <v>31269</v>
      </c>
      <c r="D20" s="19">
        <f t="shared" si="1"/>
        <v>31269</v>
      </c>
      <c r="E20" s="54">
        <v>28030</v>
      </c>
    </row>
    <row r="21" spans="1:5" s="23" customFormat="1">
      <c r="A21" s="27" t="s">
        <v>4</v>
      </c>
      <c r="B21" s="28" t="s">
        <v>3</v>
      </c>
      <c r="C21" s="55">
        <f>21.1+4.7</f>
        <v>25.8</v>
      </c>
      <c r="D21" s="19">
        <f t="shared" si="1"/>
        <v>25.8</v>
      </c>
      <c r="E21" s="54">
        <v>22.44</v>
      </c>
    </row>
    <row r="22" spans="1:5" ht="21.95" customHeight="1">
      <c r="A22" s="10" t="s">
        <v>27</v>
      </c>
      <c r="B22" s="6" t="s">
        <v>28</v>
      </c>
      <c r="C22" s="54">
        <f>C20/12/C21*1000</f>
        <v>100998.06201550388</v>
      </c>
      <c r="D22" s="19">
        <f t="shared" si="1"/>
        <v>100998.06201550388</v>
      </c>
      <c r="E22" s="54">
        <f t="shared" ref="E22" si="2">E20/12/E21*1000</f>
        <v>104092.39453357102</v>
      </c>
    </row>
    <row r="23" spans="1:5" ht="39">
      <c r="A23" s="14" t="s">
        <v>26</v>
      </c>
      <c r="B23" s="6" t="s">
        <v>2</v>
      </c>
      <c r="C23" s="54">
        <v>2563.6</v>
      </c>
      <c r="D23" s="19">
        <f t="shared" si="1"/>
        <v>2563.6</v>
      </c>
      <c r="E23" s="54">
        <v>3908.4</v>
      </c>
    </row>
    <row r="24" spans="1:5">
      <c r="A24" s="10" t="s">
        <v>4</v>
      </c>
      <c r="B24" s="11" t="s">
        <v>3</v>
      </c>
      <c r="C24" s="55">
        <v>2.5</v>
      </c>
      <c r="D24" s="19">
        <f t="shared" si="1"/>
        <v>2.5</v>
      </c>
      <c r="E24" s="54">
        <v>3.5</v>
      </c>
    </row>
    <row r="25" spans="1:5" ht="21.95" customHeight="1">
      <c r="A25" s="10" t="s">
        <v>27</v>
      </c>
      <c r="B25" s="6" t="s">
        <v>28</v>
      </c>
      <c r="C25" s="54">
        <f>C23/C24/12*1000</f>
        <v>85453.333333333328</v>
      </c>
      <c r="D25" s="19">
        <f t="shared" si="1"/>
        <v>85453.333333333328</v>
      </c>
      <c r="E25" s="54">
        <f t="shared" ref="E25" si="3">E23/E24/12*1000</f>
        <v>93057.14285714287</v>
      </c>
    </row>
    <row r="26" spans="1:5" ht="25.5">
      <c r="A26" s="7" t="s">
        <v>24</v>
      </c>
      <c r="B26" s="6" t="s">
        <v>2</v>
      </c>
      <c r="C26" s="54">
        <v>9521.4</v>
      </c>
      <c r="D26" s="19">
        <f t="shared" si="1"/>
        <v>9521.4</v>
      </c>
      <c r="E26" s="54">
        <v>11480.9</v>
      </c>
    </row>
    <row r="27" spans="1:5">
      <c r="A27" s="10" t="s">
        <v>4</v>
      </c>
      <c r="B27" s="11" t="s">
        <v>3</v>
      </c>
      <c r="C27" s="55">
        <v>17</v>
      </c>
      <c r="D27" s="19">
        <f t="shared" si="1"/>
        <v>17</v>
      </c>
      <c r="E27" s="54">
        <v>20.55</v>
      </c>
    </row>
    <row r="28" spans="1:5" ht="21.95" customHeight="1">
      <c r="A28" s="10" t="s">
        <v>27</v>
      </c>
      <c r="B28" s="6" t="s">
        <v>28</v>
      </c>
      <c r="C28" s="54">
        <f>C26/12/C27*1000</f>
        <v>46673.529411764706</v>
      </c>
      <c r="D28" s="19">
        <f t="shared" si="1"/>
        <v>46673.529411764706</v>
      </c>
      <c r="E28" s="54">
        <f t="shared" ref="E28" si="4">E26/12/E27*1000</f>
        <v>46556.772100567723</v>
      </c>
    </row>
    <row r="29" spans="1:5" ht="25.5">
      <c r="A29" s="5" t="s">
        <v>5</v>
      </c>
      <c r="B29" s="6" t="s">
        <v>2</v>
      </c>
      <c r="C29" s="19">
        <v>3540.4</v>
      </c>
      <c r="D29" s="19">
        <f t="shared" si="1"/>
        <v>3540.4</v>
      </c>
      <c r="E29" s="19">
        <v>3990</v>
      </c>
    </row>
    <row r="30" spans="1:5" ht="36.75">
      <c r="A30" s="12" t="s">
        <v>6</v>
      </c>
      <c r="B30" s="6" t="s">
        <v>2</v>
      </c>
      <c r="C30" s="19">
        <v>3044.3</v>
      </c>
      <c r="D30" s="19">
        <f t="shared" si="1"/>
        <v>3044.3</v>
      </c>
      <c r="E30" s="19">
        <v>4645.1000000000004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145.30000000000001</v>
      </c>
    </row>
    <row r="33" spans="1:5" ht="38.25" customHeight="1">
      <c r="A33" s="12" t="s">
        <v>9</v>
      </c>
      <c r="B33" s="6" t="s">
        <v>2</v>
      </c>
      <c r="C33" s="19">
        <f>968.9+10689.7</f>
        <v>11658.6</v>
      </c>
      <c r="D33" s="19">
        <f t="shared" si="1"/>
        <v>11658.6</v>
      </c>
      <c r="E33" s="19">
        <v>22659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opLeftCell="A7" workbookViewId="0">
      <selection activeCell="E33" sqref="E3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8" customWidth="1"/>
    <col min="5" max="5" width="15.85546875" style="18" customWidth="1"/>
    <col min="6" max="6" width="12" style="2" customWidth="1"/>
    <col min="7" max="7" width="15.28515625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67</v>
      </c>
      <c r="B2" s="43"/>
      <c r="C2" s="43"/>
      <c r="D2" s="43"/>
      <c r="E2" s="43"/>
    </row>
    <row r="3" spans="1:7">
      <c r="A3" s="1"/>
    </row>
    <row r="4" spans="1:7">
      <c r="A4" s="44" t="s">
        <v>30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1" t="s">
        <v>14</v>
      </c>
    </row>
    <row r="11" spans="1:7">
      <c r="A11" s="5" t="s">
        <v>22</v>
      </c>
      <c r="B11" s="6" t="s">
        <v>10</v>
      </c>
      <c r="C11" s="36">
        <v>707</v>
      </c>
      <c r="D11" s="36">
        <v>707</v>
      </c>
      <c r="E11" s="36">
        <v>707</v>
      </c>
    </row>
    <row r="12" spans="1:7" ht="25.5">
      <c r="A12" s="10" t="s">
        <v>25</v>
      </c>
      <c r="B12" s="6" t="s">
        <v>2</v>
      </c>
      <c r="C12" s="19">
        <f>(C13-C32)/C11</f>
        <v>205.24497878359267</v>
      </c>
      <c r="D12" s="19">
        <f t="shared" ref="D12:E12" si="0">(D13-D32)/D11</f>
        <v>205.24497878359267</v>
      </c>
      <c r="E12" s="19">
        <f t="shared" si="0"/>
        <v>273.07553041018389</v>
      </c>
    </row>
    <row r="13" spans="1:7" ht="25.5">
      <c r="A13" s="5" t="s">
        <v>11</v>
      </c>
      <c r="B13" s="6" t="s">
        <v>2</v>
      </c>
      <c r="C13" s="19">
        <v>145562.20000000001</v>
      </c>
      <c r="D13" s="19">
        <f>C13</f>
        <v>145562.20000000001</v>
      </c>
      <c r="E13" s="19">
        <f>E15+E29+E30+E31+E32+E33</f>
        <v>193858.90000000002</v>
      </c>
      <c r="F13" s="18"/>
    </row>
    <row r="14" spans="1:7">
      <c r="A14" s="8" t="s">
        <v>0</v>
      </c>
      <c r="B14" s="9"/>
      <c r="C14" s="19">
        <v>0</v>
      </c>
      <c r="D14" s="19">
        <v>0</v>
      </c>
      <c r="E14" s="19">
        <v>0</v>
      </c>
      <c r="G14" s="18"/>
    </row>
    <row r="15" spans="1:7" s="23" customFormat="1" ht="25.5">
      <c r="A15" s="20" t="s">
        <v>12</v>
      </c>
      <c r="B15" s="21" t="s">
        <v>2</v>
      </c>
      <c r="C15" s="36">
        <v>127632.8</v>
      </c>
      <c r="D15" s="36">
        <f>C15</f>
        <v>127632.8</v>
      </c>
      <c r="E15" s="36">
        <f>E17+E20+E23+E26</f>
        <v>110802.20000000001</v>
      </c>
    </row>
    <row r="16" spans="1:7" s="23" customFormat="1">
      <c r="A16" s="24" t="s">
        <v>1</v>
      </c>
      <c r="B16" s="25"/>
      <c r="C16" s="36">
        <v>0</v>
      </c>
      <c r="D16" s="36">
        <v>0</v>
      </c>
      <c r="E16" s="36">
        <v>0</v>
      </c>
    </row>
    <row r="17" spans="1:8" s="23" customFormat="1" ht="25.5">
      <c r="A17" s="26" t="s">
        <v>62</v>
      </c>
      <c r="B17" s="21" t="s">
        <v>2</v>
      </c>
      <c r="C17" s="36">
        <f>(109.986+483.552)*12</f>
        <v>7122.4560000000001</v>
      </c>
      <c r="D17" s="36">
        <f>C17</f>
        <v>7122.4560000000001</v>
      </c>
      <c r="E17" s="36">
        <v>7202.5</v>
      </c>
    </row>
    <row r="18" spans="1:8" s="23" customFormat="1">
      <c r="A18" s="27" t="s">
        <v>4</v>
      </c>
      <c r="B18" s="28" t="s">
        <v>3</v>
      </c>
      <c r="C18" s="36">
        <v>6</v>
      </c>
      <c r="D18" s="36">
        <f t="shared" ref="D18:D33" si="1">C18</f>
        <v>6</v>
      </c>
      <c r="E18" s="36">
        <v>6</v>
      </c>
      <c r="F18" s="23" t="s">
        <v>76</v>
      </c>
      <c r="G18" s="23" t="s">
        <v>76</v>
      </c>
    </row>
    <row r="19" spans="1:8" s="23" customFormat="1" ht="21.95" customHeight="1">
      <c r="A19" s="27" t="s">
        <v>27</v>
      </c>
      <c r="B19" s="21" t="s">
        <v>28</v>
      </c>
      <c r="C19" s="36">
        <f>C17/C18/12*1000+200</f>
        <v>99123</v>
      </c>
      <c r="D19" s="36">
        <f t="shared" si="1"/>
        <v>99123</v>
      </c>
      <c r="E19" s="36">
        <f>E17*1000/12/E18</f>
        <v>100034.72222222223</v>
      </c>
    </row>
    <row r="20" spans="1:8" s="23" customFormat="1" ht="25.5">
      <c r="A20" s="26" t="s">
        <v>63</v>
      </c>
      <c r="B20" s="21" t="s">
        <v>2</v>
      </c>
      <c r="C20" s="36">
        <f>17697*3.85*12/1000*C21+11623+18382</f>
        <v>85479.254989999987</v>
      </c>
      <c r="D20" s="36">
        <f t="shared" si="1"/>
        <v>85479.254989999987</v>
      </c>
      <c r="E20" s="36">
        <v>75519.3</v>
      </c>
    </row>
    <row r="21" spans="1:8" s="23" customFormat="1">
      <c r="A21" s="27" t="s">
        <v>4</v>
      </c>
      <c r="B21" s="28" t="s">
        <v>3</v>
      </c>
      <c r="C21" s="36">
        <f>53.4+14.45</f>
        <v>67.849999999999994</v>
      </c>
      <c r="D21" s="36">
        <f t="shared" si="1"/>
        <v>67.849999999999994</v>
      </c>
      <c r="E21" s="36">
        <v>60.05</v>
      </c>
      <c r="G21" s="23" t="s">
        <v>76</v>
      </c>
      <c r="H21" s="23" t="s">
        <v>76</v>
      </c>
    </row>
    <row r="22" spans="1:8" s="23" customFormat="1" ht="21.95" customHeight="1">
      <c r="A22" s="27" t="s">
        <v>27</v>
      </c>
      <c r="B22" s="21" t="s">
        <v>28</v>
      </c>
      <c r="C22" s="36">
        <f>C20/12/C21*1000</f>
        <v>104985.57478506508</v>
      </c>
      <c r="D22" s="36">
        <f t="shared" si="1"/>
        <v>104985.57478506508</v>
      </c>
      <c r="E22" s="36">
        <f>E20*1000/12/E21</f>
        <v>104800.58284762698</v>
      </c>
    </row>
    <row r="23" spans="1:8" s="23" customFormat="1" ht="39">
      <c r="A23" s="29" t="s">
        <v>26</v>
      </c>
      <c r="B23" s="21" t="s">
        <v>2</v>
      </c>
      <c r="C23" s="36">
        <v>9904.9</v>
      </c>
      <c r="D23" s="36">
        <f t="shared" si="1"/>
        <v>9904.9</v>
      </c>
      <c r="E23" s="36">
        <v>11071.6</v>
      </c>
    </row>
    <row r="24" spans="1:8" s="23" customFormat="1">
      <c r="A24" s="27" t="s">
        <v>4</v>
      </c>
      <c r="B24" s="28" t="s">
        <v>3</v>
      </c>
      <c r="C24" s="36">
        <v>10.25</v>
      </c>
      <c r="D24" s="36">
        <f t="shared" si="1"/>
        <v>10.25</v>
      </c>
      <c r="E24" s="36">
        <v>11.5</v>
      </c>
    </row>
    <row r="25" spans="1:8" s="23" customFormat="1" ht="21.95" customHeight="1">
      <c r="A25" s="27" t="s">
        <v>27</v>
      </c>
      <c r="B25" s="21" t="s">
        <v>28</v>
      </c>
      <c r="C25" s="36">
        <f>C23/C24/12*1000</f>
        <v>80527.642276422746</v>
      </c>
      <c r="D25" s="36">
        <f t="shared" si="1"/>
        <v>80527.642276422746</v>
      </c>
      <c r="E25" s="36">
        <f>E23*1000/12/E24</f>
        <v>80228.985507246383</v>
      </c>
    </row>
    <row r="26" spans="1:8" s="23" customFormat="1" ht="25.5">
      <c r="A26" s="26" t="s">
        <v>24</v>
      </c>
      <c r="B26" s="21" t="s">
        <v>2</v>
      </c>
      <c r="C26" s="36">
        <v>14269.8</v>
      </c>
      <c r="D26" s="36">
        <f t="shared" si="1"/>
        <v>14269.8</v>
      </c>
      <c r="E26" s="36">
        <v>17008.8</v>
      </c>
    </row>
    <row r="27" spans="1:8" s="23" customFormat="1">
      <c r="A27" s="27" t="s">
        <v>4</v>
      </c>
      <c r="B27" s="28" t="s">
        <v>3</v>
      </c>
      <c r="C27" s="36">
        <v>24.95</v>
      </c>
      <c r="D27" s="36">
        <f t="shared" si="1"/>
        <v>24.95</v>
      </c>
      <c r="E27" s="36">
        <v>29.35</v>
      </c>
    </row>
    <row r="28" spans="1:8" s="23" customFormat="1" ht="21.95" customHeight="1">
      <c r="A28" s="27" t="s">
        <v>27</v>
      </c>
      <c r="B28" s="21" t="s">
        <v>28</v>
      </c>
      <c r="C28" s="36">
        <f>C26/12/C27*1000</f>
        <v>47661.322645290573</v>
      </c>
      <c r="D28" s="36">
        <f t="shared" si="1"/>
        <v>47661.322645290573</v>
      </c>
      <c r="E28" s="36">
        <f>E26/E27*1000/12</f>
        <v>48293.015332197603</v>
      </c>
    </row>
    <row r="29" spans="1:8" s="23" customFormat="1" ht="25.5">
      <c r="A29" s="20" t="s">
        <v>5</v>
      </c>
      <c r="B29" s="21" t="s">
        <v>2</v>
      </c>
      <c r="C29" s="36">
        <f>5725+4324+806.6</f>
        <v>10855.6</v>
      </c>
      <c r="D29" s="36">
        <f t="shared" si="1"/>
        <v>10855.6</v>
      </c>
      <c r="E29" s="36">
        <v>12656</v>
      </c>
    </row>
    <row r="30" spans="1:8" s="23" customFormat="1" ht="36.75">
      <c r="A30" s="30" t="s">
        <v>6</v>
      </c>
      <c r="B30" s="21" t="s">
        <v>2</v>
      </c>
      <c r="C30" s="36">
        <f>2767.5+1087.6</f>
        <v>3855.1</v>
      </c>
      <c r="D30" s="36">
        <f t="shared" si="1"/>
        <v>3855.1</v>
      </c>
      <c r="E30" s="36">
        <v>11091</v>
      </c>
    </row>
    <row r="31" spans="1:8" ht="25.5">
      <c r="A31" s="12" t="s">
        <v>7</v>
      </c>
      <c r="B31" s="6" t="s">
        <v>2</v>
      </c>
      <c r="C31" s="19">
        <v>0</v>
      </c>
      <c r="D31" s="36">
        <f t="shared" si="1"/>
        <v>0</v>
      </c>
      <c r="E31" s="19">
        <v>0</v>
      </c>
    </row>
    <row r="32" spans="1:8" ht="36.75">
      <c r="A32" s="12" t="s">
        <v>8</v>
      </c>
      <c r="B32" s="6" t="s">
        <v>2</v>
      </c>
      <c r="C32" s="19">
        <v>454</v>
      </c>
      <c r="D32" s="36">
        <f t="shared" si="1"/>
        <v>454</v>
      </c>
      <c r="E32" s="19">
        <v>794.5</v>
      </c>
    </row>
    <row r="33" spans="1:5" ht="38.25" customHeight="1">
      <c r="A33" s="12" t="s">
        <v>9</v>
      </c>
      <c r="B33" s="6" t="s">
        <v>2</v>
      </c>
      <c r="C33" s="19">
        <v>13620.3</v>
      </c>
      <c r="D33" s="36">
        <f t="shared" si="1"/>
        <v>13620.3</v>
      </c>
      <c r="E33" s="19">
        <v>58515.199999999997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33"/>
  <sheetViews>
    <sheetView topLeftCell="A22" workbookViewId="0">
      <selection activeCell="E33" sqref="E33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73</v>
      </c>
      <c r="B2" s="43"/>
      <c r="C2" s="43"/>
      <c r="D2" s="43"/>
      <c r="E2" s="43"/>
    </row>
    <row r="3" spans="1:7">
      <c r="A3" s="1"/>
    </row>
    <row r="4" spans="1:7">
      <c r="A4" s="44" t="s">
        <v>46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164</v>
      </c>
      <c r="D11" s="19">
        <v>164</v>
      </c>
      <c r="E11" s="19">
        <v>164</v>
      </c>
    </row>
    <row r="12" spans="1:7" ht="25.5">
      <c r="A12" s="10" t="s">
        <v>25</v>
      </c>
      <c r="B12" s="6" t="s">
        <v>2</v>
      </c>
      <c r="C12" s="19">
        <f>(C13-C32)/C11</f>
        <v>308.14817073170735</v>
      </c>
      <c r="D12" s="19">
        <f t="shared" ref="D12:E12" si="0">(D13-D32)/D11</f>
        <v>308.14817073170735</v>
      </c>
      <c r="E12" s="19">
        <f t="shared" si="0"/>
        <v>373.11951219512196</v>
      </c>
    </row>
    <row r="13" spans="1:7" ht="25.5">
      <c r="A13" s="5" t="s">
        <v>11</v>
      </c>
      <c r="B13" s="6" t="s">
        <v>2</v>
      </c>
      <c r="C13" s="19">
        <v>50536.3</v>
      </c>
      <c r="D13" s="19">
        <f>C13</f>
        <v>50536.3</v>
      </c>
      <c r="E13" s="19">
        <f>E15+E29+E30+E31+E32+E33</f>
        <v>61792.65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45864.7</v>
      </c>
      <c r="D15" s="19">
        <f t="shared" si="1"/>
        <v>45864.7</v>
      </c>
      <c r="E15" s="19">
        <f>D15</f>
        <v>45864.7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54">
        <v>3458.3</v>
      </c>
      <c r="D17" s="19">
        <f t="shared" si="1"/>
        <v>3458.3</v>
      </c>
      <c r="E17" s="54">
        <v>4429.3999999999996</v>
      </c>
    </row>
    <row r="18" spans="1:5" s="23" customFormat="1">
      <c r="A18" s="27" t="s">
        <v>4</v>
      </c>
      <c r="B18" s="28" t="s">
        <v>3</v>
      </c>
      <c r="C18" s="55">
        <v>3</v>
      </c>
      <c r="D18" s="19">
        <f t="shared" si="1"/>
        <v>3</v>
      </c>
      <c r="E18" s="55">
        <v>3</v>
      </c>
    </row>
    <row r="19" spans="1:5" s="23" customFormat="1" ht="21.95" customHeight="1">
      <c r="A19" s="27" t="s">
        <v>27</v>
      </c>
      <c r="B19" s="21" t="s">
        <v>28</v>
      </c>
      <c r="C19" s="54">
        <f>C17/C18/12*1000+200</f>
        <v>96263.888888888876</v>
      </c>
      <c r="D19" s="19">
        <f t="shared" si="1"/>
        <v>96263.888888888876</v>
      </c>
      <c r="E19" s="54">
        <f>E17*1000/12/E18</f>
        <v>123038.88888888889</v>
      </c>
    </row>
    <row r="20" spans="1:5" s="23" customFormat="1" ht="25.5">
      <c r="A20" s="26" t="s">
        <v>63</v>
      </c>
      <c r="B20" s="21" t="s">
        <v>2</v>
      </c>
      <c r="C20" s="54">
        <v>28915</v>
      </c>
      <c r="D20" s="19">
        <f t="shared" si="1"/>
        <v>28915</v>
      </c>
      <c r="E20" s="54">
        <v>31881.7</v>
      </c>
    </row>
    <row r="21" spans="1:5" s="23" customFormat="1">
      <c r="A21" s="27" t="s">
        <v>4</v>
      </c>
      <c r="B21" s="28" t="s">
        <v>3</v>
      </c>
      <c r="C21" s="55">
        <f>22.4-1.2</f>
        <v>21.2</v>
      </c>
      <c r="D21" s="19">
        <f t="shared" si="1"/>
        <v>21.2</v>
      </c>
      <c r="E21" s="55">
        <v>24.7</v>
      </c>
    </row>
    <row r="22" spans="1:5" s="23" customFormat="1" ht="21.95" customHeight="1">
      <c r="A22" s="27" t="s">
        <v>27</v>
      </c>
      <c r="B22" s="21" t="s">
        <v>28</v>
      </c>
      <c r="C22" s="54">
        <f>C20/12/C21*1000</f>
        <v>113659.59119496857</v>
      </c>
      <c r="D22" s="19">
        <f t="shared" si="1"/>
        <v>113659.59119496857</v>
      </c>
      <c r="E22" s="54">
        <f t="shared" ref="E22" si="2">E20/12/E21*1000</f>
        <v>107563.09041835357</v>
      </c>
    </row>
    <row r="23" spans="1:5" ht="39">
      <c r="A23" s="14" t="s">
        <v>26</v>
      </c>
      <c r="B23" s="6" t="s">
        <v>2</v>
      </c>
      <c r="C23" s="54">
        <v>2563.6</v>
      </c>
      <c r="D23" s="19">
        <f t="shared" si="1"/>
        <v>2563.6</v>
      </c>
      <c r="E23" s="54">
        <v>3112.1</v>
      </c>
    </row>
    <row r="24" spans="1:5">
      <c r="A24" s="10" t="s">
        <v>4</v>
      </c>
      <c r="B24" s="11" t="s">
        <v>3</v>
      </c>
      <c r="C24" s="55">
        <v>2.5</v>
      </c>
      <c r="D24" s="19">
        <f t="shared" si="1"/>
        <v>2.5</v>
      </c>
      <c r="E24" s="55">
        <v>3</v>
      </c>
    </row>
    <row r="25" spans="1:5" ht="21.95" customHeight="1">
      <c r="A25" s="10" t="s">
        <v>27</v>
      </c>
      <c r="B25" s="6" t="s">
        <v>28</v>
      </c>
      <c r="C25" s="54">
        <f>C23/C24/12*1000</f>
        <v>85453.333333333328</v>
      </c>
      <c r="D25" s="19">
        <f t="shared" si="1"/>
        <v>85453.333333333328</v>
      </c>
      <c r="E25" s="54">
        <f t="shared" ref="E25" si="3">E23/E24/12*1000</f>
        <v>86447.222222222204</v>
      </c>
    </row>
    <row r="26" spans="1:5" ht="25.5">
      <c r="A26" s="7" t="s">
        <v>24</v>
      </c>
      <c r="B26" s="6" t="s">
        <v>2</v>
      </c>
      <c r="C26" s="54">
        <v>7555.3</v>
      </c>
      <c r="D26" s="19">
        <f t="shared" si="1"/>
        <v>7555.3</v>
      </c>
      <c r="E26" s="54">
        <v>10656.3</v>
      </c>
    </row>
    <row r="27" spans="1:5">
      <c r="A27" s="10" t="s">
        <v>4</v>
      </c>
      <c r="B27" s="11" t="s">
        <v>3</v>
      </c>
      <c r="C27" s="55">
        <v>10.75</v>
      </c>
      <c r="D27" s="19">
        <f t="shared" si="1"/>
        <v>10.75</v>
      </c>
      <c r="E27" s="55">
        <v>15</v>
      </c>
    </row>
    <row r="28" spans="1:5" ht="21.95" customHeight="1">
      <c r="A28" s="10" t="s">
        <v>27</v>
      </c>
      <c r="B28" s="6" t="s">
        <v>28</v>
      </c>
      <c r="C28" s="54">
        <f>C26/12/C27*1000</f>
        <v>58568.217054263572</v>
      </c>
      <c r="D28" s="19">
        <f t="shared" si="1"/>
        <v>58568.217054263572</v>
      </c>
      <c r="E28" s="54">
        <f t="shared" ref="E28" si="4">E26/12/E27*1000</f>
        <v>59201.666666666672</v>
      </c>
    </row>
    <row r="29" spans="1:5" ht="25.5">
      <c r="A29" s="5" t="s">
        <v>5</v>
      </c>
      <c r="B29" s="6" t="s">
        <v>2</v>
      </c>
      <c r="C29" s="19">
        <v>3372.8</v>
      </c>
      <c r="D29" s="19">
        <f t="shared" si="1"/>
        <v>3372.8</v>
      </c>
      <c r="E29" s="19">
        <v>3996</v>
      </c>
    </row>
    <row r="30" spans="1:5" ht="36.75">
      <c r="A30" s="12" t="s">
        <v>6</v>
      </c>
      <c r="B30" s="6" t="s">
        <v>2</v>
      </c>
      <c r="C30" s="19">
        <v>2390.1</v>
      </c>
      <c r="D30" s="19">
        <f t="shared" si="1"/>
        <v>2390.1</v>
      </c>
      <c r="E30" s="19">
        <v>5646.9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601.04999999999995</v>
      </c>
    </row>
    <row r="33" spans="1:5" ht="38.25" customHeight="1">
      <c r="A33" s="12" t="s">
        <v>9</v>
      </c>
      <c r="B33" s="6" t="s">
        <v>2</v>
      </c>
      <c r="C33" s="19">
        <f>713.2+1568.3</f>
        <v>2281.5</v>
      </c>
      <c r="D33" s="19">
        <f t="shared" si="1"/>
        <v>2281.5</v>
      </c>
      <c r="E33" s="19">
        <v>5684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33"/>
  <sheetViews>
    <sheetView topLeftCell="A22" workbookViewId="0">
      <selection activeCell="D35" sqref="D35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69</v>
      </c>
      <c r="B2" s="43"/>
      <c r="C2" s="43"/>
      <c r="D2" s="43"/>
      <c r="E2" s="43"/>
    </row>
    <row r="3" spans="1:7">
      <c r="A3" s="1"/>
    </row>
    <row r="4" spans="1:7">
      <c r="A4" s="44" t="s">
        <v>47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96</v>
      </c>
      <c r="D11" s="19">
        <v>96</v>
      </c>
      <c r="E11" s="19">
        <v>96</v>
      </c>
    </row>
    <row r="12" spans="1:7" ht="25.5">
      <c r="A12" s="10" t="s">
        <v>25</v>
      </c>
      <c r="B12" s="6" t="s">
        <v>2</v>
      </c>
      <c r="C12" s="19">
        <f>(C13-C32)/C11</f>
        <v>516.94375000000002</v>
      </c>
      <c r="D12" s="19">
        <f t="shared" ref="D12:E12" si="0">(D13-D32)/D11</f>
        <v>516.94375000000002</v>
      </c>
      <c r="E12" s="19">
        <f t="shared" si="0"/>
        <v>556.11562500000002</v>
      </c>
      <c r="F12" s="2" t="s">
        <v>76</v>
      </c>
    </row>
    <row r="13" spans="1:7" ht="25.5">
      <c r="A13" s="5" t="s">
        <v>11</v>
      </c>
      <c r="B13" s="6" t="s">
        <v>2</v>
      </c>
      <c r="C13" s="19">
        <v>49626.6</v>
      </c>
      <c r="D13" s="19">
        <f>C13</f>
        <v>49626.6</v>
      </c>
      <c r="E13" s="19">
        <f>E15+E29+E30+E31+E32+E33</f>
        <v>53387.1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44413.2</v>
      </c>
      <c r="D15" s="19">
        <f t="shared" si="1"/>
        <v>44413.2</v>
      </c>
      <c r="E15" s="19">
        <f>E17+E20+E23+E26</f>
        <v>36216.5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7" s="23" customFormat="1" ht="25.5">
      <c r="A17" s="26" t="s">
        <v>62</v>
      </c>
      <c r="B17" s="21" t="s">
        <v>2</v>
      </c>
      <c r="C17" s="54">
        <v>2258.3000000000002</v>
      </c>
      <c r="D17" s="19">
        <f t="shared" si="1"/>
        <v>2258.3000000000002</v>
      </c>
      <c r="E17" s="54">
        <v>2886.9</v>
      </c>
    </row>
    <row r="18" spans="1:7" s="23" customFormat="1">
      <c r="A18" s="27" t="s">
        <v>4</v>
      </c>
      <c r="B18" s="28" t="s">
        <v>3</v>
      </c>
      <c r="C18" s="55">
        <v>2</v>
      </c>
      <c r="D18" s="19">
        <f t="shared" si="1"/>
        <v>2</v>
      </c>
      <c r="E18" s="55">
        <v>2</v>
      </c>
    </row>
    <row r="19" spans="1:7" s="23" customFormat="1" ht="21.95" customHeight="1">
      <c r="A19" s="27" t="s">
        <v>27</v>
      </c>
      <c r="B19" s="21" t="s">
        <v>28</v>
      </c>
      <c r="C19" s="54">
        <f>C17/C18/12*1000+200</f>
        <v>94295.833333333343</v>
      </c>
      <c r="D19" s="19">
        <f t="shared" si="1"/>
        <v>94295.833333333343</v>
      </c>
      <c r="E19" s="54">
        <f>E17*1000/12/E18</f>
        <v>120287.5</v>
      </c>
    </row>
    <row r="20" spans="1:7" s="23" customFormat="1" ht="25.5">
      <c r="A20" s="26" t="s">
        <v>63</v>
      </c>
      <c r="B20" s="21" t="s">
        <v>2</v>
      </c>
      <c r="C20" s="54">
        <v>26020</v>
      </c>
      <c r="D20" s="19">
        <f t="shared" si="1"/>
        <v>26020</v>
      </c>
      <c r="E20" s="54">
        <v>18328.099999999999</v>
      </c>
    </row>
    <row r="21" spans="1:7" s="23" customFormat="1">
      <c r="A21" s="27" t="s">
        <v>4</v>
      </c>
      <c r="B21" s="28" t="s">
        <v>3</v>
      </c>
      <c r="C21" s="55">
        <f>21.1+4.78</f>
        <v>25.880000000000003</v>
      </c>
      <c r="D21" s="19">
        <f t="shared" si="1"/>
        <v>25.880000000000003</v>
      </c>
      <c r="E21" s="55">
        <v>17.899999999999999</v>
      </c>
    </row>
    <row r="22" spans="1:7" ht="21.95" customHeight="1">
      <c r="A22" s="10" t="s">
        <v>27</v>
      </c>
      <c r="B22" s="6" t="s">
        <v>28</v>
      </c>
      <c r="C22" s="54">
        <f>C20/12/C21*1000</f>
        <v>83784.13189077795</v>
      </c>
      <c r="D22" s="19">
        <f t="shared" si="1"/>
        <v>83784.13189077795</v>
      </c>
      <c r="E22" s="54">
        <f t="shared" ref="E22" si="2">E20/12/E21*1000</f>
        <v>85326.350093109868</v>
      </c>
    </row>
    <row r="23" spans="1:7" ht="39">
      <c r="A23" s="14" t="s">
        <v>26</v>
      </c>
      <c r="B23" s="6" t="s">
        <v>2</v>
      </c>
      <c r="C23" s="54">
        <v>2963.6</v>
      </c>
      <c r="D23" s="19">
        <f t="shared" si="1"/>
        <v>2963.6</v>
      </c>
      <c r="E23" s="54">
        <v>3948.9</v>
      </c>
    </row>
    <row r="24" spans="1:7">
      <c r="A24" s="10" t="s">
        <v>4</v>
      </c>
      <c r="B24" s="11" t="s">
        <v>3</v>
      </c>
      <c r="C24" s="55">
        <v>3</v>
      </c>
      <c r="D24" s="19">
        <f t="shared" si="1"/>
        <v>3</v>
      </c>
      <c r="E24" s="55">
        <v>3.5</v>
      </c>
    </row>
    <row r="25" spans="1:7" ht="21.95" customHeight="1">
      <c r="A25" s="10" t="s">
        <v>27</v>
      </c>
      <c r="B25" s="6" t="s">
        <v>28</v>
      </c>
      <c r="C25" s="54">
        <f>C23/C24/12*1000</f>
        <v>82322.222222222219</v>
      </c>
      <c r="D25" s="19">
        <f t="shared" si="1"/>
        <v>82322.222222222219</v>
      </c>
      <c r="E25" s="54">
        <f t="shared" ref="E25" si="3">E23/E24/12*1000</f>
        <v>94021.42857142858</v>
      </c>
    </row>
    <row r="26" spans="1:7" ht="25.5">
      <c r="A26" s="7" t="s">
        <v>24</v>
      </c>
      <c r="B26" s="6" t="s">
        <v>2</v>
      </c>
      <c r="C26" s="54">
        <v>9654.2999999999993</v>
      </c>
      <c r="D26" s="19">
        <f t="shared" si="1"/>
        <v>9654.2999999999993</v>
      </c>
      <c r="E26" s="54">
        <v>11052.6</v>
      </c>
    </row>
    <row r="27" spans="1:7">
      <c r="A27" s="10" t="s">
        <v>4</v>
      </c>
      <c r="B27" s="11" t="s">
        <v>3</v>
      </c>
      <c r="C27" s="55">
        <v>18.3</v>
      </c>
      <c r="D27" s="19">
        <f t="shared" si="1"/>
        <v>18.3</v>
      </c>
      <c r="E27" s="55">
        <v>21.3</v>
      </c>
    </row>
    <row r="28" spans="1:7" ht="21.95" customHeight="1">
      <c r="A28" s="10" t="s">
        <v>27</v>
      </c>
      <c r="B28" s="6" t="s">
        <v>28</v>
      </c>
      <c r="C28" s="54">
        <f>C26/12/C27*1000</f>
        <v>43963.114754098358</v>
      </c>
      <c r="D28" s="19">
        <f t="shared" si="1"/>
        <v>43963.114754098358</v>
      </c>
      <c r="E28" s="54">
        <f t="shared" ref="E28" si="4">E26/12/E27*1000</f>
        <v>43241.784037558689</v>
      </c>
    </row>
    <row r="29" spans="1:7" ht="25.5">
      <c r="A29" s="5" t="s">
        <v>5</v>
      </c>
      <c r="B29" s="6" t="s">
        <v>2</v>
      </c>
      <c r="C29" s="19">
        <v>3517.5</v>
      </c>
      <c r="D29" s="19">
        <f t="shared" si="1"/>
        <v>3517.5</v>
      </c>
      <c r="E29" s="19">
        <v>3958</v>
      </c>
      <c r="G29" s="2" t="s">
        <v>76</v>
      </c>
    </row>
    <row r="30" spans="1:7" ht="36.75">
      <c r="A30" s="12" t="s">
        <v>6</v>
      </c>
      <c r="B30" s="6" t="s">
        <v>2</v>
      </c>
      <c r="C30" s="19">
        <v>2418.1</v>
      </c>
      <c r="D30" s="19">
        <f t="shared" si="1"/>
        <v>2418.1</v>
      </c>
      <c r="E30" s="19">
        <v>6358.6</v>
      </c>
    </row>
    <row r="31" spans="1:7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7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0</v>
      </c>
    </row>
    <row r="33" spans="1:5" ht="38.25" customHeight="1">
      <c r="A33" s="12" t="s">
        <v>9</v>
      </c>
      <c r="B33" s="6" t="s">
        <v>2</v>
      </c>
      <c r="C33" s="19">
        <f>736.2+2059.1</f>
        <v>2795.3</v>
      </c>
      <c r="D33" s="19">
        <f t="shared" si="1"/>
        <v>2795.3</v>
      </c>
      <c r="E33" s="19">
        <v>6854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F27" sqref="F27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68</v>
      </c>
      <c r="B2" s="43"/>
      <c r="C2" s="43"/>
      <c r="D2" s="43"/>
      <c r="E2" s="43"/>
    </row>
    <row r="3" spans="1:7">
      <c r="A3" s="1"/>
    </row>
    <row r="4" spans="1:7">
      <c r="A4" s="44" t="s">
        <v>48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16</v>
      </c>
      <c r="D11" s="19">
        <v>16</v>
      </c>
      <c r="E11" s="19">
        <v>16</v>
      </c>
    </row>
    <row r="12" spans="1:7" ht="25.5">
      <c r="A12" s="10" t="s">
        <v>25</v>
      </c>
      <c r="B12" s="6" t="s">
        <v>2</v>
      </c>
      <c r="C12" s="19">
        <f>(C13-C32)/C11</f>
        <v>778.77499999999998</v>
      </c>
      <c r="D12" s="19">
        <f t="shared" ref="D12:E12" si="0">(D13-D32)/D11</f>
        <v>778.77499999999998</v>
      </c>
      <c r="E12" s="19">
        <f t="shared" si="0"/>
        <v>902.82500000000005</v>
      </c>
    </row>
    <row r="13" spans="1:7" ht="25.5">
      <c r="A13" s="5" t="s">
        <v>11</v>
      </c>
      <c r="B13" s="6" t="s">
        <v>2</v>
      </c>
      <c r="C13" s="19">
        <v>12460.4</v>
      </c>
      <c r="D13" s="19">
        <f>C13</f>
        <v>12460.4</v>
      </c>
      <c r="E13" s="19">
        <f>E15+E29+E30+E31+E32+E33</f>
        <v>14612.2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7719.6</v>
      </c>
      <c r="D15" s="19">
        <f t="shared" si="1"/>
        <v>7719.6</v>
      </c>
      <c r="E15" s="19">
        <f>E17+E20+E23+E26</f>
        <v>8867.4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36"/>
      <c r="D17" s="19">
        <f t="shared" si="1"/>
        <v>0</v>
      </c>
      <c r="E17" s="36"/>
    </row>
    <row r="18" spans="1:5" s="23" customFormat="1">
      <c r="A18" s="27" t="s">
        <v>4</v>
      </c>
      <c r="B18" s="28" t="s">
        <v>3</v>
      </c>
      <c r="C18" s="52"/>
      <c r="D18" s="19">
        <f t="shared" si="1"/>
        <v>0</v>
      </c>
      <c r="E18" s="52"/>
    </row>
    <row r="19" spans="1:5" s="23" customFormat="1" ht="21.95" customHeight="1">
      <c r="A19" s="27" t="s">
        <v>27</v>
      </c>
      <c r="B19" s="21" t="s">
        <v>28</v>
      </c>
      <c r="C19" s="36"/>
      <c r="D19" s="19">
        <f t="shared" si="1"/>
        <v>0</v>
      </c>
      <c r="E19" s="36"/>
    </row>
    <row r="20" spans="1:5" s="23" customFormat="1" ht="25.5">
      <c r="A20" s="26" t="s">
        <v>63</v>
      </c>
      <c r="B20" s="21" t="s">
        <v>2</v>
      </c>
      <c r="C20" s="36">
        <v>3214.3</v>
      </c>
      <c r="D20" s="19">
        <f t="shared" si="1"/>
        <v>3214.3</v>
      </c>
      <c r="E20" s="36">
        <v>5639.9</v>
      </c>
    </row>
    <row r="21" spans="1:5" s="23" customFormat="1">
      <c r="A21" s="27" t="s">
        <v>4</v>
      </c>
      <c r="B21" s="28" t="s">
        <v>3</v>
      </c>
      <c r="C21" s="52">
        <f>5.9-3.3</f>
        <v>2.6000000000000005</v>
      </c>
      <c r="D21" s="19">
        <f t="shared" si="1"/>
        <v>2.6000000000000005</v>
      </c>
      <c r="E21" s="52">
        <v>5.24</v>
      </c>
    </row>
    <row r="22" spans="1:5" s="23" customFormat="1" ht="21.95" customHeight="1">
      <c r="A22" s="27" t="s">
        <v>27</v>
      </c>
      <c r="B22" s="21" t="s">
        <v>28</v>
      </c>
      <c r="C22" s="36">
        <f>C20/12/C21*1000</f>
        <v>103022.43589743588</v>
      </c>
      <c r="D22" s="19">
        <f t="shared" si="1"/>
        <v>103022.43589743588</v>
      </c>
      <c r="E22" s="36">
        <f t="shared" ref="E22" si="2">E20/12/E21*1000</f>
        <v>89693.066157760797</v>
      </c>
    </row>
    <row r="23" spans="1:5" ht="39">
      <c r="A23" s="14" t="s">
        <v>26</v>
      </c>
      <c r="B23" s="6" t="s">
        <v>2</v>
      </c>
      <c r="C23" s="36">
        <v>290.5</v>
      </c>
      <c r="D23" s="19">
        <f t="shared" si="1"/>
        <v>290.5</v>
      </c>
      <c r="E23" s="36">
        <v>290.39999999999998</v>
      </c>
    </row>
    <row r="24" spans="1:5">
      <c r="A24" s="10" t="s">
        <v>4</v>
      </c>
      <c r="B24" s="11" t="s">
        <v>3</v>
      </c>
      <c r="C24" s="52">
        <v>0.5</v>
      </c>
      <c r="D24" s="19">
        <f t="shared" si="1"/>
        <v>0.5</v>
      </c>
      <c r="E24" s="52">
        <v>0.5</v>
      </c>
    </row>
    <row r="25" spans="1:5" ht="21.95" customHeight="1">
      <c r="A25" s="10" t="s">
        <v>27</v>
      </c>
      <c r="B25" s="6" t="s">
        <v>28</v>
      </c>
      <c r="C25" s="36">
        <f>C23/C24/12*1000</f>
        <v>48416.666666666664</v>
      </c>
      <c r="D25" s="19">
        <f t="shared" si="1"/>
        <v>48416.666666666664</v>
      </c>
      <c r="E25" s="36">
        <f t="shared" ref="E25" si="3">E23/E24/12*1000</f>
        <v>48400</v>
      </c>
    </row>
    <row r="26" spans="1:5" ht="25.5">
      <c r="A26" s="7" t="s">
        <v>24</v>
      </c>
      <c r="B26" s="6" t="s">
        <v>2</v>
      </c>
      <c r="C26" s="36">
        <v>2845.9</v>
      </c>
      <c r="D26" s="19">
        <f t="shared" si="1"/>
        <v>2845.9</v>
      </c>
      <c r="E26" s="36">
        <v>2937.1</v>
      </c>
    </row>
    <row r="27" spans="1:5">
      <c r="A27" s="10" t="s">
        <v>4</v>
      </c>
      <c r="B27" s="11" t="s">
        <v>3</v>
      </c>
      <c r="C27" s="52">
        <v>5.5</v>
      </c>
      <c r="D27" s="19">
        <f t="shared" si="1"/>
        <v>5.5</v>
      </c>
      <c r="E27" s="52">
        <v>5.8</v>
      </c>
    </row>
    <row r="28" spans="1:5" ht="21.95" customHeight="1">
      <c r="A28" s="10" t="s">
        <v>27</v>
      </c>
      <c r="B28" s="6" t="s">
        <v>28</v>
      </c>
      <c r="C28" s="36">
        <f>C26/12/C27*1000</f>
        <v>43119.696969696968</v>
      </c>
      <c r="D28" s="19">
        <f t="shared" si="1"/>
        <v>43119.696969696968</v>
      </c>
      <c r="E28" s="36">
        <f t="shared" ref="E28" si="4">E26/12/E27*1000</f>
        <v>42199.712643678162</v>
      </c>
    </row>
    <row r="29" spans="1:5" ht="25.5">
      <c r="A29" s="5" t="s">
        <v>5</v>
      </c>
      <c r="B29" s="6" t="s">
        <v>2</v>
      </c>
      <c r="C29" s="19">
        <v>827.1</v>
      </c>
      <c r="D29" s="19">
        <f t="shared" si="1"/>
        <v>827.1</v>
      </c>
      <c r="E29" s="19">
        <v>837</v>
      </c>
    </row>
    <row r="30" spans="1:5" ht="36.75">
      <c r="A30" s="12" t="s">
        <v>6</v>
      </c>
      <c r="B30" s="6" t="s">
        <v>2</v>
      </c>
      <c r="C30" s="19">
        <v>1827</v>
      </c>
      <c r="D30" s="19">
        <f t="shared" si="1"/>
        <v>1827</v>
      </c>
      <c r="E30" s="19">
        <f>D30</f>
        <v>1827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167</v>
      </c>
    </row>
    <row r="33" spans="1:5" ht="38.25" customHeight="1">
      <c r="A33" s="12" t="s">
        <v>9</v>
      </c>
      <c r="B33" s="6" t="s">
        <v>2</v>
      </c>
      <c r="C33" s="19">
        <f>387.5+2526.3</f>
        <v>2913.8</v>
      </c>
      <c r="D33" s="19">
        <f t="shared" si="1"/>
        <v>2913.8</v>
      </c>
      <c r="E33" s="19">
        <f>D33</f>
        <v>2913.8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34"/>
  <sheetViews>
    <sheetView topLeftCell="A16" workbookViewId="0">
      <selection activeCell="F32" sqref="F32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68</v>
      </c>
      <c r="B2" s="43"/>
      <c r="C2" s="43"/>
      <c r="D2" s="43"/>
      <c r="E2" s="43"/>
    </row>
    <row r="3" spans="1:7">
      <c r="A3" s="1"/>
    </row>
    <row r="4" spans="1:7">
      <c r="A4" s="44" t="s">
        <v>49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105</v>
      </c>
      <c r="D11" s="19">
        <v>105</v>
      </c>
      <c r="E11" s="19">
        <v>105</v>
      </c>
    </row>
    <row r="12" spans="1:7" ht="25.5">
      <c r="A12" s="10" t="s">
        <v>25</v>
      </c>
      <c r="B12" s="6" t="s">
        <v>2</v>
      </c>
      <c r="C12" s="19">
        <f>(C13-C32)/C11</f>
        <v>536.55809523809523</v>
      </c>
      <c r="D12" s="19">
        <f t="shared" ref="D12:E12" si="0">(D13-D32)/D11</f>
        <v>536.55809523809523</v>
      </c>
      <c r="E12" s="19">
        <f t="shared" si="0"/>
        <v>621.98476190476197</v>
      </c>
    </row>
    <row r="13" spans="1:7" ht="25.5">
      <c r="A13" s="5" t="s">
        <v>11</v>
      </c>
      <c r="B13" s="6" t="s">
        <v>2</v>
      </c>
      <c r="C13" s="19">
        <v>56338.6</v>
      </c>
      <c r="D13" s="19">
        <f>C13</f>
        <v>56338.6</v>
      </c>
      <c r="E13" s="19">
        <f>E15+E29+E30+E31+E32+E33</f>
        <v>65308.4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36">
        <v>43229.1</v>
      </c>
      <c r="D15" s="19">
        <f t="shared" si="1"/>
        <v>43229.1</v>
      </c>
      <c r="E15" s="36">
        <f>E17+E20+E23+E26</f>
        <v>40537.9</v>
      </c>
    </row>
    <row r="16" spans="1:7">
      <c r="A16" s="8" t="s">
        <v>1</v>
      </c>
      <c r="B16" s="9"/>
      <c r="C16" s="36"/>
      <c r="D16" s="19">
        <f t="shared" si="1"/>
        <v>0</v>
      </c>
      <c r="E16" s="36"/>
    </row>
    <row r="17" spans="1:6" s="23" customFormat="1" ht="25.5">
      <c r="A17" s="26" t="s">
        <v>62</v>
      </c>
      <c r="B17" s="21" t="s">
        <v>2</v>
      </c>
      <c r="C17" s="36">
        <v>3256.4</v>
      </c>
      <c r="D17" s="19">
        <f t="shared" si="1"/>
        <v>3256.4</v>
      </c>
      <c r="E17" s="36">
        <v>3824.5</v>
      </c>
    </row>
    <row r="18" spans="1:6" s="23" customFormat="1">
      <c r="A18" s="27" t="s">
        <v>4</v>
      </c>
      <c r="B18" s="28" t="s">
        <v>3</v>
      </c>
      <c r="C18" s="52">
        <v>3</v>
      </c>
      <c r="D18" s="19">
        <f t="shared" si="1"/>
        <v>3</v>
      </c>
      <c r="E18" s="52">
        <v>3</v>
      </c>
      <c r="F18" s="23" t="s">
        <v>76</v>
      </c>
    </row>
    <row r="19" spans="1:6" s="23" customFormat="1" ht="21.95" customHeight="1">
      <c r="A19" s="27" t="s">
        <v>27</v>
      </c>
      <c r="B19" s="21" t="s">
        <v>28</v>
      </c>
      <c r="C19" s="36">
        <f>C17/C18/12*1000+200</f>
        <v>90655.555555555562</v>
      </c>
      <c r="D19" s="19">
        <f t="shared" si="1"/>
        <v>90655.555555555562</v>
      </c>
      <c r="E19" s="36">
        <f>E17*1000/12/E18</f>
        <v>106236.11111111111</v>
      </c>
    </row>
    <row r="20" spans="1:6" s="23" customFormat="1" ht="25.5">
      <c r="A20" s="26" t="s">
        <v>63</v>
      </c>
      <c r="B20" s="21" t="s">
        <v>2</v>
      </c>
      <c r="C20" s="36">
        <v>25155</v>
      </c>
      <c r="D20" s="19">
        <f t="shared" si="1"/>
        <v>25155</v>
      </c>
      <c r="E20" s="36">
        <v>23984.400000000001</v>
      </c>
    </row>
    <row r="21" spans="1:6" s="23" customFormat="1">
      <c r="A21" s="27" t="s">
        <v>4</v>
      </c>
      <c r="B21" s="28" t="s">
        <v>3</v>
      </c>
      <c r="C21" s="52">
        <f>21.1+5.72</f>
        <v>26.82</v>
      </c>
      <c r="D21" s="19">
        <f t="shared" si="1"/>
        <v>26.82</v>
      </c>
      <c r="E21" s="52">
        <v>23.11</v>
      </c>
    </row>
    <row r="22" spans="1:6" s="23" customFormat="1" ht="21.95" customHeight="1">
      <c r="A22" s="27" t="s">
        <v>27</v>
      </c>
      <c r="B22" s="21" t="s">
        <v>28</v>
      </c>
      <c r="C22" s="36">
        <f>C20/12/C21*1000</f>
        <v>78159.955257270689</v>
      </c>
      <c r="D22" s="19">
        <f t="shared" si="1"/>
        <v>78159.955257270689</v>
      </c>
      <c r="E22" s="36">
        <f t="shared" ref="E22" si="2">E20/12/E21*1000</f>
        <v>86486.369536996979</v>
      </c>
    </row>
    <row r="23" spans="1:6" ht="39">
      <c r="A23" s="14" t="s">
        <v>26</v>
      </c>
      <c r="B23" s="6" t="s">
        <v>2</v>
      </c>
      <c r="C23" s="36">
        <v>2228.5</v>
      </c>
      <c r="D23" s="19">
        <f t="shared" si="1"/>
        <v>2228.5</v>
      </c>
      <c r="E23" s="36">
        <v>2749</v>
      </c>
    </row>
    <row r="24" spans="1:6">
      <c r="A24" s="10" t="s">
        <v>4</v>
      </c>
      <c r="B24" s="11" t="s">
        <v>3</v>
      </c>
      <c r="C24" s="52">
        <v>2.5</v>
      </c>
      <c r="D24" s="19">
        <f t="shared" si="1"/>
        <v>2.5</v>
      </c>
      <c r="E24" s="52">
        <v>3</v>
      </c>
    </row>
    <row r="25" spans="1:6" ht="21.95" customHeight="1">
      <c r="A25" s="10" t="s">
        <v>27</v>
      </c>
      <c r="B25" s="6" t="s">
        <v>28</v>
      </c>
      <c r="C25" s="36">
        <f>C23/C24/12*1000</f>
        <v>74283.333333333328</v>
      </c>
      <c r="D25" s="19">
        <f t="shared" si="1"/>
        <v>74283.333333333328</v>
      </c>
      <c r="E25" s="36">
        <f t="shared" ref="E25" si="3">E23/E24/12*1000</f>
        <v>76361.111111111109</v>
      </c>
    </row>
    <row r="26" spans="1:6" ht="25.5">
      <c r="A26" s="7" t="s">
        <v>24</v>
      </c>
      <c r="B26" s="6" t="s">
        <v>2</v>
      </c>
      <c r="C26" s="36">
        <v>8485.5</v>
      </c>
      <c r="D26" s="19">
        <f t="shared" si="1"/>
        <v>8485.5</v>
      </c>
      <c r="E26" s="36">
        <v>9980</v>
      </c>
    </row>
    <row r="27" spans="1:6">
      <c r="A27" s="10" t="s">
        <v>4</v>
      </c>
      <c r="B27" s="11" t="s">
        <v>3</v>
      </c>
      <c r="C27" s="52">
        <v>15.5</v>
      </c>
      <c r="D27" s="19">
        <f t="shared" si="1"/>
        <v>15.5</v>
      </c>
      <c r="E27" s="52">
        <v>19.88</v>
      </c>
    </row>
    <row r="28" spans="1:6" ht="21.95" customHeight="1">
      <c r="A28" s="10" t="s">
        <v>27</v>
      </c>
      <c r="B28" s="6" t="s">
        <v>28</v>
      </c>
      <c r="C28" s="36">
        <f>C26/12/C27*1000</f>
        <v>45620.967741935478</v>
      </c>
      <c r="D28" s="19">
        <f t="shared" si="1"/>
        <v>45620.967741935478</v>
      </c>
      <c r="E28" s="36">
        <f t="shared" ref="E28" si="4">E26/12/E27*1000</f>
        <v>41834.339369550638</v>
      </c>
    </row>
    <row r="29" spans="1:6" ht="25.5">
      <c r="A29" s="5" t="s">
        <v>5</v>
      </c>
      <c r="B29" s="6" t="s">
        <v>2</v>
      </c>
      <c r="C29" s="36">
        <v>4103.3</v>
      </c>
      <c r="D29" s="19">
        <f t="shared" si="1"/>
        <v>4103.3</v>
      </c>
      <c r="E29" s="36">
        <v>4953</v>
      </c>
    </row>
    <row r="30" spans="1:6" ht="36.75">
      <c r="A30" s="12" t="s">
        <v>6</v>
      </c>
      <c r="B30" s="6" t="s">
        <v>2</v>
      </c>
      <c r="C30" s="36">
        <v>2631.5</v>
      </c>
      <c r="D30" s="19">
        <f t="shared" si="1"/>
        <v>2631.5</v>
      </c>
      <c r="E30" s="36">
        <v>4339.5</v>
      </c>
    </row>
    <row r="31" spans="1:6" ht="25.5">
      <c r="A31" s="12" t="s">
        <v>7</v>
      </c>
      <c r="B31" s="6" t="s">
        <v>2</v>
      </c>
      <c r="C31" s="36">
        <v>0</v>
      </c>
      <c r="D31" s="19">
        <f t="shared" si="1"/>
        <v>0</v>
      </c>
      <c r="E31" s="36">
        <v>0</v>
      </c>
    </row>
    <row r="32" spans="1:6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0</v>
      </c>
    </row>
    <row r="33" spans="1:5" ht="38.25" customHeight="1">
      <c r="A33" s="12" t="s">
        <v>9</v>
      </c>
      <c r="B33" s="6" t="s">
        <v>2</v>
      </c>
      <c r="C33" s="19">
        <f>745.3+9732.7</f>
        <v>10478</v>
      </c>
      <c r="D33" s="19">
        <f t="shared" si="1"/>
        <v>10478</v>
      </c>
      <c r="E33" s="19">
        <v>15478</v>
      </c>
    </row>
    <row r="34" spans="1:5">
      <c r="C34" s="53"/>
      <c r="D34" s="53"/>
      <c r="E34" s="5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F30" sqref="F30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74</v>
      </c>
      <c r="B2" s="43"/>
      <c r="C2" s="43"/>
      <c r="D2" s="43"/>
      <c r="E2" s="43"/>
    </row>
    <row r="3" spans="1:7">
      <c r="A3" s="1"/>
    </row>
    <row r="4" spans="1:7">
      <c r="A4" s="44" t="s">
        <v>50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146</v>
      </c>
      <c r="D11" s="19">
        <v>146</v>
      </c>
      <c r="E11" s="19">
        <v>146</v>
      </c>
    </row>
    <row r="12" spans="1:7" ht="25.5">
      <c r="A12" s="10" t="s">
        <v>25</v>
      </c>
      <c r="B12" s="6" t="s">
        <v>2</v>
      </c>
      <c r="C12" s="19">
        <f>(C13-C32)/C11</f>
        <v>442.76369863013701</v>
      </c>
      <c r="D12" s="19">
        <f t="shared" ref="D12:E12" si="0">(D13-D32)/D11</f>
        <v>442.76369863013701</v>
      </c>
      <c r="E12" s="19">
        <f t="shared" si="0"/>
        <v>497.09589041095893</v>
      </c>
    </row>
    <row r="13" spans="1:7" ht="25.5">
      <c r="A13" s="5" t="s">
        <v>11</v>
      </c>
      <c r="B13" s="6" t="s">
        <v>2</v>
      </c>
      <c r="C13" s="19">
        <v>64643.5</v>
      </c>
      <c r="D13" s="19">
        <f>C13</f>
        <v>64643.5</v>
      </c>
      <c r="E13" s="19">
        <f>E15+E29+E30+E31+E32+E33</f>
        <v>72611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45904.800000000003</v>
      </c>
      <c r="D15" s="19">
        <f t="shared" si="1"/>
        <v>45904.800000000003</v>
      </c>
      <c r="E15" s="19">
        <f>E17+E20+E23+E26</f>
        <v>43210.899999999994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36">
        <v>3256.4</v>
      </c>
      <c r="D17" s="19">
        <f t="shared" si="1"/>
        <v>3256.4</v>
      </c>
      <c r="E17" s="36">
        <v>4125.5</v>
      </c>
    </row>
    <row r="18" spans="1:5" s="23" customFormat="1">
      <c r="A18" s="27" t="s">
        <v>4</v>
      </c>
      <c r="B18" s="28" t="s">
        <v>3</v>
      </c>
      <c r="C18" s="36">
        <v>3</v>
      </c>
      <c r="D18" s="19">
        <f t="shared" si="1"/>
        <v>3</v>
      </c>
      <c r="E18" s="36">
        <v>3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90655.555555555562</v>
      </c>
      <c r="D19" s="19">
        <f t="shared" si="1"/>
        <v>90655.555555555562</v>
      </c>
      <c r="E19" s="36">
        <f>E17*1000/12/E18</f>
        <v>114597.22222222223</v>
      </c>
    </row>
    <row r="20" spans="1:5" s="23" customFormat="1" ht="25.5">
      <c r="A20" s="26" t="s">
        <v>63</v>
      </c>
      <c r="B20" s="21" t="s">
        <v>2</v>
      </c>
      <c r="C20" s="36">
        <v>27634</v>
      </c>
      <c r="D20" s="19">
        <f t="shared" si="1"/>
        <v>27634</v>
      </c>
      <c r="E20" s="36">
        <v>24763.1</v>
      </c>
    </row>
    <row r="21" spans="1:5" s="23" customFormat="1">
      <c r="A21" s="27" t="s">
        <v>4</v>
      </c>
      <c r="B21" s="28" t="s">
        <v>3</v>
      </c>
      <c r="C21" s="36">
        <f>21.1+6.25</f>
        <v>27.35</v>
      </c>
      <c r="D21" s="19">
        <f t="shared" si="1"/>
        <v>27.35</v>
      </c>
      <c r="E21" s="36">
        <v>22.76</v>
      </c>
    </row>
    <row r="22" spans="1:5" s="23" customFormat="1" ht="21.95" customHeight="1">
      <c r="A22" s="27" t="s">
        <v>27</v>
      </c>
      <c r="B22" s="21" t="s">
        <v>28</v>
      </c>
      <c r="C22" s="36">
        <f>C20/12/C21*1000</f>
        <v>84198.659354052405</v>
      </c>
      <c r="D22" s="19">
        <f t="shared" si="1"/>
        <v>84198.659354052405</v>
      </c>
      <c r="E22" s="36">
        <f t="shared" ref="E22" si="2">E20/12/E21*1000</f>
        <v>90667.472173403628</v>
      </c>
    </row>
    <row r="23" spans="1:5" ht="39">
      <c r="A23" s="14" t="s">
        <v>26</v>
      </c>
      <c r="B23" s="6" t="s">
        <v>2</v>
      </c>
      <c r="C23" s="36">
        <v>2228.5</v>
      </c>
      <c r="D23" s="19">
        <f t="shared" si="1"/>
        <v>2228.5</v>
      </c>
      <c r="E23" s="36">
        <v>3491.5</v>
      </c>
    </row>
    <row r="24" spans="1:5">
      <c r="A24" s="10" t="s">
        <v>4</v>
      </c>
      <c r="B24" s="11" t="s">
        <v>3</v>
      </c>
      <c r="C24" s="36">
        <v>3</v>
      </c>
      <c r="D24" s="19">
        <f t="shared" si="1"/>
        <v>3</v>
      </c>
      <c r="E24" s="36">
        <v>3.75</v>
      </c>
    </row>
    <row r="25" spans="1:5" ht="21.95" customHeight="1">
      <c r="A25" s="10" t="s">
        <v>27</v>
      </c>
      <c r="B25" s="6" t="s">
        <v>28</v>
      </c>
      <c r="C25" s="36">
        <f>C23/C24/12*1000</f>
        <v>61902.777777777781</v>
      </c>
      <c r="D25" s="19">
        <f t="shared" si="1"/>
        <v>61902.777777777781</v>
      </c>
      <c r="E25" s="36">
        <f t="shared" ref="E25" si="3">E23/E24/12*1000</f>
        <v>77588.888888888891</v>
      </c>
    </row>
    <row r="26" spans="1:5" ht="25.5">
      <c r="A26" s="7" t="s">
        <v>24</v>
      </c>
      <c r="B26" s="6" t="s">
        <v>2</v>
      </c>
      <c r="C26" s="36">
        <v>8485.5</v>
      </c>
      <c r="D26" s="19">
        <f t="shared" si="1"/>
        <v>8485.5</v>
      </c>
      <c r="E26" s="36">
        <v>10830.8</v>
      </c>
    </row>
    <row r="27" spans="1:5">
      <c r="A27" s="10" t="s">
        <v>4</v>
      </c>
      <c r="B27" s="11" t="s">
        <v>3</v>
      </c>
      <c r="C27" s="36">
        <v>15</v>
      </c>
      <c r="D27" s="19">
        <f t="shared" si="1"/>
        <v>15</v>
      </c>
      <c r="E27" s="36">
        <v>19.38</v>
      </c>
    </row>
    <row r="28" spans="1:5" ht="21.95" customHeight="1">
      <c r="A28" s="10" t="s">
        <v>27</v>
      </c>
      <c r="B28" s="6" t="s">
        <v>28</v>
      </c>
      <c r="C28" s="36">
        <f>C26/12/C27*1000</f>
        <v>47141.666666666664</v>
      </c>
      <c r="D28" s="19">
        <f t="shared" si="1"/>
        <v>47141.666666666664</v>
      </c>
      <c r="E28" s="36">
        <f t="shared" ref="E28" si="4">E26/12/E27*1000</f>
        <v>46572.067423460612</v>
      </c>
    </row>
    <row r="29" spans="1:5" ht="25.5">
      <c r="A29" s="5" t="s">
        <v>5</v>
      </c>
      <c r="B29" s="6" t="s">
        <v>2</v>
      </c>
      <c r="C29" s="36">
        <v>4299.3999999999996</v>
      </c>
      <c r="D29" s="19">
        <f t="shared" si="1"/>
        <v>4299.3999999999996</v>
      </c>
      <c r="E29" s="36">
        <v>4998</v>
      </c>
    </row>
    <row r="30" spans="1:5" ht="36.75">
      <c r="A30" s="12" t="s">
        <v>6</v>
      </c>
      <c r="B30" s="6" t="s">
        <v>2</v>
      </c>
      <c r="C30" s="36">
        <v>2667.6</v>
      </c>
      <c r="D30" s="19">
        <f t="shared" si="1"/>
        <v>2667.6</v>
      </c>
      <c r="E30" s="36">
        <v>4515.1000000000004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35</v>
      </c>
    </row>
    <row r="33" spans="1:5" ht="38.25" customHeight="1">
      <c r="A33" s="12" t="s">
        <v>9</v>
      </c>
      <c r="B33" s="6" t="s">
        <v>2</v>
      </c>
      <c r="C33" s="19">
        <f>829+15242.1</f>
        <v>16071.1</v>
      </c>
      <c r="D33" s="19">
        <f t="shared" si="1"/>
        <v>16071.1</v>
      </c>
      <c r="E33" s="19">
        <v>19852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33"/>
  <sheetViews>
    <sheetView topLeftCell="A10" workbookViewId="0">
      <selection activeCell="F29" sqref="F29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74</v>
      </c>
      <c r="B2" s="43"/>
      <c r="C2" s="43"/>
      <c r="D2" s="43"/>
      <c r="E2" s="43"/>
    </row>
    <row r="3" spans="1:7">
      <c r="A3" s="1"/>
    </row>
    <row r="4" spans="1:7">
      <c r="A4" s="44" t="s">
        <v>51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50</v>
      </c>
      <c r="D11" s="19">
        <v>50</v>
      </c>
      <c r="E11" s="19">
        <v>50</v>
      </c>
    </row>
    <row r="12" spans="1:7" ht="25.5">
      <c r="A12" s="10" t="s">
        <v>25</v>
      </c>
      <c r="B12" s="6" t="s">
        <v>2</v>
      </c>
      <c r="C12" s="19">
        <f>(C13-C32)/C11</f>
        <v>461.30599999999998</v>
      </c>
      <c r="D12" s="19">
        <f t="shared" ref="D12:E12" si="0">(D13-D32)/D11</f>
        <v>461.30599999999998</v>
      </c>
      <c r="E12" s="19">
        <f t="shared" si="0"/>
        <v>524.30599999999993</v>
      </c>
    </row>
    <row r="13" spans="1:7" ht="25.5">
      <c r="A13" s="5" t="s">
        <v>11</v>
      </c>
      <c r="B13" s="6" t="s">
        <v>2</v>
      </c>
      <c r="C13" s="19">
        <v>37894.1</v>
      </c>
      <c r="D13" s="19">
        <f>C13</f>
        <v>37894.1</v>
      </c>
      <c r="E13" s="19">
        <f>E15+E29+E30+E32+E33</f>
        <v>41188.799999999996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18330.400000000001</v>
      </c>
      <c r="D15" s="19">
        <f t="shared" si="1"/>
        <v>18330.400000000001</v>
      </c>
      <c r="E15" s="19">
        <f>E17+E20+E23+E26</f>
        <v>19681.400000000001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54">
        <v>1649</v>
      </c>
      <c r="D17" s="19">
        <f t="shared" si="1"/>
        <v>1649</v>
      </c>
      <c r="E17" s="54">
        <v>2803.8</v>
      </c>
    </row>
    <row r="18" spans="1:5" s="23" customFormat="1">
      <c r="A18" s="27" t="s">
        <v>4</v>
      </c>
      <c r="B18" s="28" t="s">
        <v>3</v>
      </c>
      <c r="C18" s="55">
        <v>1</v>
      </c>
      <c r="D18" s="19">
        <f t="shared" si="1"/>
        <v>1</v>
      </c>
      <c r="E18" s="55">
        <v>2</v>
      </c>
    </row>
    <row r="19" spans="1:5" s="23" customFormat="1" ht="21.95" customHeight="1">
      <c r="A19" s="27" t="s">
        <v>27</v>
      </c>
      <c r="B19" s="21" t="s">
        <v>28</v>
      </c>
      <c r="C19" s="54">
        <f>C17/C18/12*1000+200</f>
        <v>137616.66666666666</v>
      </c>
      <c r="D19" s="19">
        <f t="shared" si="1"/>
        <v>137616.66666666666</v>
      </c>
      <c r="E19" s="54">
        <f>E17*1000/12/E18</f>
        <v>116825</v>
      </c>
    </row>
    <row r="20" spans="1:5" s="23" customFormat="1" ht="25.5">
      <c r="A20" s="26" t="s">
        <v>63</v>
      </c>
      <c r="B20" s="21" t="s">
        <v>2</v>
      </c>
      <c r="C20" s="54">
        <v>11144</v>
      </c>
      <c r="D20" s="19">
        <f t="shared" si="1"/>
        <v>11144</v>
      </c>
      <c r="E20" s="54">
        <v>12013.4</v>
      </c>
    </row>
    <row r="21" spans="1:5" s="23" customFormat="1">
      <c r="A21" s="27" t="s">
        <v>4</v>
      </c>
      <c r="B21" s="28" t="s">
        <v>3</v>
      </c>
      <c r="C21" s="55">
        <f>16.7-6.7</f>
        <v>10</v>
      </c>
      <c r="D21" s="19">
        <f t="shared" si="1"/>
        <v>10</v>
      </c>
      <c r="E21" s="55">
        <v>10.84</v>
      </c>
    </row>
    <row r="22" spans="1:5" ht="21.95" customHeight="1">
      <c r="A22" s="10" t="s">
        <v>27</v>
      </c>
      <c r="B22" s="6" t="s">
        <v>28</v>
      </c>
      <c r="C22" s="54">
        <f>C20/12/C21*1000</f>
        <v>92866.666666666657</v>
      </c>
      <c r="D22" s="19">
        <f t="shared" si="1"/>
        <v>92866.666666666657</v>
      </c>
      <c r="E22" s="54">
        <f t="shared" ref="E22" si="2">E20/12/E21*1000</f>
        <v>92353.936039360386</v>
      </c>
    </row>
    <row r="23" spans="1:5" ht="39">
      <c r="A23" s="14" t="s">
        <v>26</v>
      </c>
      <c r="B23" s="6" t="s">
        <v>2</v>
      </c>
      <c r="C23" s="54">
        <v>1010.5</v>
      </c>
      <c r="D23" s="19">
        <f t="shared" si="1"/>
        <v>1010.5</v>
      </c>
      <c r="E23" s="54">
        <v>1539.9</v>
      </c>
    </row>
    <row r="24" spans="1:5">
      <c r="A24" s="10" t="s">
        <v>4</v>
      </c>
      <c r="B24" s="11" t="s">
        <v>3</v>
      </c>
      <c r="C24" s="55">
        <v>1.5</v>
      </c>
      <c r="D24" s="19">
        <f t="shared" si="1"/>
        <v>1.5</v>
      </c>
      <c r="E24" s="55">
        <v>1.5</v>
      </c>
    </row>
    <row r="25" spans="1:5" ht="21.95" customHeight="1">
      <c r="A25" s="10" t="s">
        <v>27</v>
      </c>
      <c r="B25" s="6" t="s">
        <v>28</v>
      </c>
      <c r="C25" s="54">
        <f>C23/C24/12*1000</f>
        <v>56138.888888888883</v>
      </c>
      <c r="D25" s="19">
        <f t="shared" si="1"/>
        <v>56138.888888888883</v>
      </c>
      <c r="E25" s="54">
        <f t="shared" ref="E25" si="3">E23/E24/12*1000</f>
        <v>85550.000000000015</v>
      </c>
    </row>
    <row r="26" spans="1:5" ht="25.5">
      <c r="A26" s="7" t="s">
        <v>24</v>
      </c>
      <c r="B26" s="6" t="s">
        <v>2</v>
      </c>
      <c r="C26" s="54">
        <v>2741.2</v>
      </c>
      <c r="D26" s="19">
        <f t="shared" si="1"/>
        <v>2741.2</v>
      </c>
      <c r="E26" s="54">
        <v>3324.3</v>
      </c>
    </row>
    <row r="27" spans="1:5">
      <c r="A27" s="10" t="s">
        <v>4</v>
      </c>
      <c r="B27" s="11" t="s">
        <v>3</v>
      </c>
      <c r="C27" s="55">
        <v>5.5</v>
      </c>
      <c r="D27" s="19">
        <f t="shared" si="1"/>
        <v>5.5</v>
      </c>
      <c r="E27" s="55">
        <v>6.3</v>
      </c>
    </row>
    <row r="28" spans="1:5" ht="21.95" customHeight="1">
      <c r="A28" s="10" t="s">
        <v>27</v>
      </c>
      <c r="B28" s="6" t="s">
        <v>28</v>
      </c>
      <c r="C28" s="54">
        <f>C26/12/C27*1000</f>
        <v>41533.333333333328</v>
      </c>
      <c r="D28" s="19">
        <f t="shared" si="1"/>
        <v>41533.333333333328</v>
      </c>
      <c r="E28" s="54">
        <f t="shared" ref="E28" si="4">E26/12/E27*1000</f>
        <v>43972.222222222226</v>
      </c>
    </row>
    <row r="29" spans="1:5" ht="25.5">
      <c r="A29" s="5" t="s">
        <v>5</v>
      </c>
      <c r="B29" s="6" t="s">
        <v>2</v>
      </c>
      <c r="C29" s="19">
        <v>1785.4</v>
      </c>
      <c r="D29" s="19">
        <f t="shared" si="1"/>
        <v>1785.4</v>
      </c>
      <c r="E29" s="19">
        <v>1799</v>
      </c>
    </row>
    <row r="30" spans="1:5" ht="36.75">
      <c r="A30" s="12" t="s">
        <v>6</v>
      </c>
      <c r="B30" s="6" t="s">
        <v>2</v>
      </c>
      <c r="C30" s="19">
        <v>2770.8</v>
      </c>
      <c r="D30" s="19">
        <f t="shared" si="1"/>
        <v>2770.8</v>
      </c>
      <c r="E30" s="19">
        <f>D30</f>
        <v>2770.8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14828.8</v>
      </c>
      <c r="D32" s="19">
        <f t="shared" si="1"/>
        <v>14828.8</v>
      </c>
      <c r="E32" s="19">
        <v>14973.5</v>
      </c>
    </row>
    <row r="33" spans="1:5" ht="38.25" customHeight="1">
      <c r="A33" s="12" t="s">
        <v>9</v>
      </c>
      <c r="B33" s="6" t="s">
        <v>2</v>
      </c>
      <c r="C33" s="19">
        <f>616.7+1347.4</f>
        <v>1964.1000000000001</v>
      </c>
      <c r="D33" s="19">
        <f t="shared" si="1"/>
        <v>1964.1000000000001</v>
      </c>
      <c r="E33" s="19">
        <f>D33</f>
        <v>1964.1000000000001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F30" sqref="F30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74</v>
      </c>
      <c r="B2" s="43"/>
      <c r="C2" s="43"/>
      <c r="D2" s="43"/>
      <c r="E2" s="43"/>
    </row>
    <row r="3" spans="1:7">
      <c r="A3" s="1"/>
    </row>
    <row r="4" spans="1:7">
      <c r="A4" s="44" t="s">
        <v>52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118</v>
      </c>
      <c r="D11" s="19">
        <v>118</v>
      </c>
      <c r="E11" s="19">
        <v>118</v>
      </c>
    </row>
    <row r="12" spans="1:7" ht="25.5">
      <c r="A12" s="10" t="s">
        <v>25</v>
      </c>
      <c r="B12" s="6" t="s">
        <v>2</v>
      </c>
      <c r="C12" s="19">
        <f>(C13-C32)/C11</f>
        <v>425.82118644067799</v>
      </c>
      <c r="D12" s="19">
        <f t="shared" ref="D12:E12" si="0">(D13-D32)/D11</f>
        <v>425.82118644067799</v>
      </c>
      <c r="E12" s="19">
        <f t="shared" si="0"/>
        <v>510.61016949152537</v>
      </c>
    </row>
    <row r="13" spans="1:7" ht="25.5">
      <c r="A13" s="5" t="s">
        <v>11</v>
      </c>
      <c r="B13" s="6" t="s">
        <v>2</v>
      </c>
      <c r="C13" s="19">
        <v>50246.9</v>
      </c>
      <c r="D13" s="19">
        <f>C13</f>
        <v>50246.9</v>
      </c>
      <c r="E13" s="19">
        <f>E15+E29+E30+E31+E32+E33</f>
        <v>60321.999999999993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45341.8</v>
      </c>
      <c r="D15" s="19">
        <f t="shared" si="1"/>
        <v>45341.8</v>
      </c>
      <c r="E15" s="19">
        <f>E17+E20+E23+E26</f>
        <v>46835.399999999994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54">
        <v>2374.1999999999998</v>
      </c>
      <c r="D17" s="19">
        <f t="shared" si="1"/>
        <v>2374.1999999999998</v>
      </c>
      <c r="E17" s="54">
        <v>4111.2</v>
      </c>
    </row>
    <row r="18" spans="1:5" s="23" customFormat="1">
      <c r="A18" s="27" t="s">
        <v>4</v>
      </c>
      <c r="B18" s="28" t="s">
        <v>3</v>
      </c>
      <c r="C18" s="55">
        <v>2</v>
      </c>
      <c r="D18" s="19">
        <f t="shared" si="1"/>
        <v>2</v>
      </c>
      <c r="E18" s="55">
        <v>3</v>
      </c>
    </row>
    <row r="19" spans="1:5" s="23" customFormat="1" ht="21.95" customHeight="1">
      <c r="A19" s="27" t="s">
        <v>27</v>
      </c>
      <c r="B19" s="21" t="s">
        <v>28</v>
      </c>
      <c r="C19" s="54">
        <f>C17/C18/12*1000+200</f>
        <v>99125</v>
      </c>
      <c r="D19" s="19">
        <f t="shared" si="1"/>
        <v>99125</v>
      </c>
      <c r="E19" s="54">
        <f>E17*1000/12/E18</f>
        <v>114200</v>
      </c>
    </row>
    <row r="20" spans="1:5" s="23" customFormat="1" ht="25.5">
      <c r="A20" s="26" t="s">
        <v>63</v>
      </c>
      <c r="B20" s="21" t="s">
        <v>2</v>
      </c>
      <c r="C20" s="54">
        <v>25456.2</v>
      </c>
      <c r="D20" s="19">
        <f t="shared" si="1"/>
        <v>25456.2</v>
      </c>
      <c r="E20" s="54">
        <v>28298.1</v>
      </c>
    </row>
    <row r="21" spans="1:5" s="23" customFormat="1">
      <c r="A21" s="27" t="s">
        <v>4</v>
      </c>
      <c r="B21" s="28" t="s">
        <v>3</v>
      </c>
      <c r="C21" s="55">
        <f>18.9+1.78</f>
        <v>20.68</v>
      </c>
      <c r="D21" s="19">
        <f t="shared" si="1"/>
        <v>20.68</v>
      </c>
      <c r="E21" s="55">
        <v>22.9</v>
      </c>
    </row>
    <row r="22" spans="1:5" ht="21.95" customHeight="1">
      <c r="A22" s="10" t="s">
        <v>27</v>
      </c>
      <c r="B22" s="6" t="s">
        <v>28</v>
      </c>
      <c r="C22" s="54">
        <f>C20/12/C21*1000</f>
        <v>102579.78723404255</v>
      </c>
      <c r="D22" s="19">
        <f t="shared" si="1"/>
        <v>102579.78723404255</v>
      </c>
      <c r="E22" s="54">
        <f t="shared" ref="E22" si="2">E20/12/E21*1000</f>
        <v>102977.07423580784</v>
      </c>
    </row>
    <row r="23" spans="1:5" ht="39">
      <c r="A23" s="14" t="s">
        <v>26</v>
      </c>
      <c r="B23" s="6" t="s">
        <v>2</v>
      </c>
      <c r="C23" s="54">
        <v>1571.9</v>
      </c>
      <c r="D23" s="19">
        <f t="shared" si="1"/>
        <v>1571.9</v>
      </c>
      <c r="E23" s="54">
        <v>2295.3000000000002</v>
      </c>
    </row>
    <row r="24" spans="1:5">
      <c r="A24" s="10" t="s">
        <v>4</v>
      </c>
      <c r="B24" s="11" t="s">
        <v>3</v>
      </c>
      <c r="C24" s="55">
        <v>2</v>
      </c>
      <c r="D24" s="19">
        <f t="shared" si="1"/>
        <v>2</v>
      </c>
      <c r="E24" s="55">
        <v>2.5</v>
      </c>
    </row>
    <row r="25" spans="1:5" ht="21.95" customHeight="1">
      <c r="A25" s="10" t="s">
        <v>27</v>
      </c>
      <c r="B25" s="6" t="s">
        <v>28</v>
      </c>
      <c r="C25" s="54">
        <f>C23/C24/12*1000</f>
        <v>65495.833333333336</v>
      </c>
      <c r="D25" s="19">
        <f t="shared" si="1"/>
        <v>65495.833333333336</v>
      </c>
      <c r="E25" s="54">
        <f t="shared" ref="E25" si="3">E23/E24/12*1000</f>
        <v>76510</v>
      </c>
    </row>
    <row r="26" spans="1:5" ht="25.5">
      <c r="A26" s="7" t="s">
        <v>24</v>
      </c>
      <c r="B26" s="6" t="s">
        <v>2</v>
      </c>
      <c r="C26" s="54">
        <v>6025</v>
      </c>
      <c r="D26" s="19">
        <f t="shared" si="1"/>
        <v>6025</v>
      </c>
      <c r="E26" s="54">
        <v>12130.8</v>
      </c>
    </row>
    <row r="27" spans="1:5">
      <c r="A27" s="10" t="s">
        <v>4</v>
      </c>
      <c r="B27" s="11" t="s">
        <v>3</v>
      </c>
      <c r="C27" s="55">
        <v>12.25</v>
      </c>
      <c r="D27" s="19">
        <f t="shared" si="1"/>
        <v>12.25</v>
      </c>
      <c r="E27" s="55">
        <v>16</v>
      </c>
    </row>
    <row r="28" spans="1:5" ht="21.95" customHeight="1">
      <c r="A28" s="10" t="s">
        <v>27</v>
      </c>
      <c r="B28" s="6" t="s">
        <v>28</v>
      </c>
      <c r="C28" s="54">
        <f>C26/12/C27*1000</f>
        <v>40986.394557823129</v>
      </c>
      <c r="D28" s="19">
        <f t="shared" si="1"/>
        <v>40986.394557823129</v>
      </c>
      <c r="E28" s="54">
        <f t="shared" ref="E28" si="4">E26/12/E27*1000</f>
        <v>63181.25</v>
      </c>
    </row>
    <row r="29" spans="1:5" ht="25.5">
      <c r="A29" s="5" t="s">
        <v>5</v>
      </c>
      <c r="B29" s="6" t="s">
        <v>2</v>
      </c>
      <c r="C29" s="19">
        <v>3429.7</v>
      </c>
      <c r="D29" s="19">
        <f t="shared" si="1"/>
        <v>3429.7</v>
      </c>
      <c r="E29" s="19">
        <v>4439</v>
      </c>
    </row>
    <row r="30" spans="1:5" ht="36.75">
      <c r="A30" s="12" t="s">
        <v>6</v>
      </c>
      <c r="B30" s="6" t="s">
        <v>2</v>
      </c>
      <c r="C30" s="19">
        <v>2456.1</v>
      </c>
      <c r="D30" s="19">
        <f t="shared" si="1"/>
        <v>2456.1</v>
      </c>
      <c r="E30" s="19">
        <v>3082.6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70</v>
      </c>
    </row>
    <row r="33" spans="1:5" ht="38.25" customHeight="1">
      <c r="A33" s="12" t="s">
        <v>9</v>
      </c>
      <c r="B33" s="6" t="s">
        <v>2</v>
      </c>
      <c r="C33" s="19">
        <f>833.5+1615.5</f>
        <v>2449</v>
      </c>
      <c r="D33" s="19">
        <f t="shared" si="1"/>
        <v>2449</v>
      </c>
      <c r="E33" s="19">
        <v>5895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F32" sqref="F32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74</v>
      </c>
      <c r="B2" s="43"/>
      <c r="C2" s="43"/>
      <c r="D2" s="43"/>
      <c r="E2" s="43"/>
    </row>
    <row r="3" spans="1:7">
      <c r="A3" s="1"/>
    </row>
    <row r="4" spans="1:7">
      <c r="A4" s="44" t="s">
        <v>60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176</v>
      </c>
      <c r="D11" s="19">
        <v>176</v>
      </c>
      <c r="E11" s="19">
        <v>176</v>
      </c>
    </row>
    <row r="12" spans="1:7" ht="25.5">
      <c r="A12" s="10" t="s">
        <v>25</v>
      </c>
      <c r="B12" s="6" t="s">
        <v>2</v>
      </c>
      <c r="C12" s="19">
        <f>(C13-C32)/C11</f>
        <v>414.57386363636363</v>
      </c>
      <c r="D12" s="19">
        <f t="shared" ref="D12:E12" si="0">(D13-D32)/D11</f>
        <v>414.57386363636363</v>
      </c>
      <c r="E12" s="19">
        <f t="shared" si="0"/>
        <v>535.37443181818185</v>
      </c>
    </row>
    <row r="13" spans="1:7" ht="25.5">
      <c r="A13" s="5" t="s">
        <v>11</v>
      </c>
      <c r="B13" s="6" t="s">
        <v>2</v>
      </c>
      <c r="C13" s="19">
        <v>72965</v>
      </c>
      <c r="D13" s="19">
        <f>C13</f>
        <v>72965</v>
      </c>
      <c r="E13" s="19">
        <f>E15+E29+E30+E31+E32+E33</f>
        <v>94338.200000000012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52781.5</v>
      </c>
      <c r="D15" s="19">
        <f t="shared" si="1"/>
        <v>52781.5</v>
      </c>
      <c r="E15" s="19">
        <f>E17+E20+E23+E26</f>
        <v>67829.100000000006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54">
        <v>5341.8</v>
      </c>
      <c r="D17" s="19">
        <f t="shared" si="1"/>
        <v>5341.8</v>
      </c>
      <c r="E17" s="54">
        <v>6044.9</v>
      </c>
    </row>
    <row r="18" spans="1:5" s="23" customFormat="1">
      <c r="A18" s="27" t="s">
        <v>4</v>
      </c>
      <c r="B18" s="28" t="s">
        <v>3</v>
      </c>
      <c r="C18" s="55">
        <v>4.5</v>
      </c>
      <c r="D18" s="19">
        <f t="shared" si="1"/>
        <v>4.5</v>
      </c>
      <c r="E18" s="55">
        <v>4.5</v>
      </c>
    </row>
    <row r="19" spans="1:5" s="23" customFormat="1" ht="21.95" customHeight="1">
      <c r="A19" s="27" t="s">
        <v>27</v>
      </c>
      <c r="B19" s="21" t="s">
        <v>28</v>
      </c>
      <c r="C19" s="54">
        <f>C17/C18/12*1000+200</f>
        <v>99122.222222222219</v>
      </c>
      <c r="D19" s="19">
        <f t="shared" si="1"/>
        <v>99122.222222222219</v>
      </c>
      <c r="E19" s="54">
        <f>E17*1000/12/E18</f>
        <v>111942.5925925926</v>
      </c>
    </row>
    <row r="20" spans="1:5" s="23" customFormat="1" ht="25.5">
      <c r="A20" s="26" t="s">
        <v>63</v>
      </c>
      <c r="B20" s="21" t="s">
        <v>2</v>
      </c>
      <c r="C20" s="54">
        <v>34842</v>
      </c>
      <c r="D20" s="19">
        <f t="shared" si="1"/>
        <v>34842</v>
      </c>
      <c r="E20" s="54">
        <v>49975.7</v>
      </c>
    </row>
    <row r="21" spans="1:5" s="23" customFormat="1">
      <c r="A21" s="27" t="s">
        <v>4</v>
      </c>
      <c r="B21" s="28" t="s">
        <v>3</v>
      </c>
      <c r="C21" s="55">
        <f>35.9-12.9</f>
        <v>23</v>
      </c>
      <c r="D21" s="19">
        <f t="shared" si="1"/>
        <v>23</v>
      </c>
      <c r="E21" s="55">
        <v>34.9</v>
      </c>
    </row>
    <row r="22" spans="1:5" ht="21.95" customHeight="1">
      <c r="A22" s="10" t="s">
        <v>27</v>
      </c>
      <c r="B22" s="6" t="s">
        <v>28</v>
      </c>
      <c r="C22" s="54">
        <f>C20/12/C21*1000</f>
        <v>126239.13043478261</v>
      </c>
      <c r="D22" s="19">
        <f t="shared" si="1"/>
        <v>126239.13043478261</v>
      </c>
      <c r="E22" s="54">
        <f t="shared" ref="E22" si="2">E20/12/E21*1000</f>
        <v>119330.70678127985</v>
      </c>
    </row>
    <row r="23" spans="1:5" ht="39">
      <c r="A23" s="14" t="s">
        <v>26</v>
      </c>
      <c r="B23" s="6" t="s">
        <v>2</v>
      </c>
      <c r="C23" s="54">
        <v>1684</v>
      </c>
      <c r="D23" s="19">
        <f t="shared" si="1"/>
        <v>1684</v>
      </c>
      <c r="E23" s="54">
        <v>3422.3</v>
      </c>
    </row>
    <row r="24" spans="1:5">
      <c r="A24" s="10" t="s">
        <v>4</v>
      </c>
      <c r="B24" s="11" t="s">
        <v>3</v>
      </c>
      <c r="C24" s="55">
        <v>2.5</v>
      </c>
      <c r="D24" s="19">
        <f t="shared" si="1"/>
        <v>2.5</v>
      </c>
      <c r="E24" s="55">
        <v>4</v>
      </c>
    </row>
    <row r="25" spans="1:5" ht="21.95" customHeight="1">
      <c r="A25" s="10" t="s">
        <v>27</v>
      </c>
      <c r="B25" s="6" t="s">
        <v>28</v>
      </c>
      <c r="C25" s="54">
        <f>C23/C24/12*1000</f>
        <v>56133.333333333336</v>
      </c>
      <c r="D25" s="19">
        <f t="shared" si="1"/>
        <v>56133.333333333336</v>
      </c>
      <c r="E25" s="54">
        <f t="shared" ref="E25" si="3">E23/E24/12*1000</f>
        <v>71297.916666666672</v>
      </c>
    </row>
    <row r="26" spans="1:5" ht="25.5">
      <c r="A26" s="7" t="s">
        <v>24</v>
      </c>
      <c r="B26" s="6" t="s">
        <v>2</v>
      </c>
      <c r="C26" s="54">
        <v>6861.9</v>
      </c>
      <c r="D26" s="19">
        <f t="shared" si="1"/>
        <v>6861.9</v>
      </c>
      <c r="E26" s="54">
        <v>8386.2000000000007</v>
      </c>
    </row>
    <row r="27" spans="1:5">
      <c r="A27" s="10" t="s">
        <v>4</v>
      </c>
      <c r="B27" s="11" t="s">
        <v>3</v>
      </c>
      <c r="C27" s="55">
        <v>13.75</v>
      </c>
      <c r="D27" s="19">
        <f t="shared" si="1"/>
        <v>13.75</v>
      </c>
      <c r="E27" s="55">
        <v>17</v>
      </c>
    </row>
    <row r="28" spans="1:5" ht="21.95" customHeight="1">
      <c r="A28" s="10" t="s">
        <v>27</v>
      </c>
      <c r="B28" s="6" t="s">
        <v>28</v>
      </c>
      <c r="C28" s="54">
        <f>C26/12/C27*1000</f>
        <v>41587.272727272721</v>
      </c>
      <c r="D28" s="19">
        <f t="shared" si="1"/>
        <v>41587.272727272721</v>
      </c>
      <c r="E28" s="54">
        <f t="shared" ref="E28" si="4">E26/12/E27*1000</f>
        <v>41108.823529411762</v>
      </c>
    </row>
    <row r="29" spans="1:5" ht="25.5">
      <c r="A29" s="5" t="s">
        <v>5</v>
      </c>
      <c r="B29" s="6" t="s">
        <v>2</v>
      </c>
      <c r="C29" s="19">
        <v>4052.3</v>
      </c>
      <c r="D29" s="19">
        <f t="shared" si="1"/>
        <v>4052.3</v>
      </c>
      <c r="E29" s="19">
        <v>4952</v>
      </c>
    </row>
    <row r="30" spans="1:5" ht="36.75">
      <c r="A30" s="12" t="s">
        <v>6</v>
      </c>
      <c r="B30" s="6" t="s">
        <v>2</v>
      </c>
      <c r="C30" s="19">
        <v>2827.9</v>
      </c>
      <c r="D30" s="19">
        <f t="shared" si="1"/>
        <v>2827.9</v>
      </c>
      <c r="E30" s="19">
        <v>4089.2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112.3</v>
      </c>
    </row>
    <row r="33" spans="1:5" ht="38.25" customHeight="1">
      <c r="A33" s="12" t="s">
        <v>9</v>
      </c>
      <c r="B33" s="6" t="s">
        <v>2</v>
      </c>
      <c r="C33" s="19">
        <f>6118.4+11237.2</f>
        <v>17355.599999999999</v>
      </c>
      <c r="D33" s="19">
        <f t="shared" si="1"/>
        <v>17355.599999999999</v>
      </c>
      <c r="E33" s="19">
        <f>D33</f>
        <v>17355.599999999999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F32" sqref="F32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75</v>
      </c>
      <c r="B2" s="43"/>
      <c r="C2" s="43"/>
      <c r="D2" s="43"/>
      <c r="E2" s="43"/>
    </row>
    <row r="3" spans="1:7">
      <c r="A3" s="1"/>
    </row>
    <row r="4" spans="1:7">
      <c r="A4" s="44" t="s">
        <v>61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104</v>
      </c>
      <c r="D11" s="19">
        <v>104</v>
      </c>
      <c r="E11" s="19">
        <v>104</v>
      </c>
    </row>
    <row r="12" spans="1:7" ht="25.5">
      <c r="A12" s="10" t="s">
        <v>25</v>
      </c>
      <c r="B12" s="6" t="s">
        <v>2</v>
      </c>
      <c r="C12" s="19">
        <f>(C13-C32)/C11</f>
        <v>548.90480769230771</v>
      </c>
      <c r="D12" s="19">
        <f t="shared" ref="D12:E12" si="0">(D13-D32)/D11</f>
        <v>548.90480769230771</v>
      </c>
      <c r="E12" s="19">
        <f t="shared" si="0"/>
        <v>637.62019230769226</v>
      </c>
    </row>
    <row r="13" spans="1:7" ht="25.5">
      <c r="A13" s="5" t="s">
        <v>11</v>
      </c>
      <c r="B13" s="6" t="s">
        <v>2</v>
      </c>
      <c r="C13" s="19">
        <v>57086.1</v>
      </c>
      <c r="D13" s="19">
        <f>C13</f>
        <v>57086.1</v>
      </c>
      <c r="E13" s="19">
        <f>E15+E29+E30+E31+E32+E33</f>
        <v>66852.5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52065.2</v>
      </c>
      <c r="D15" s="19">
        <f t="shared" si="1"/>
        <v>52065.2</v>
      </c>
      <c r="E15" s="19">
        <f>E17+E20+E23+E26</f>
        <v>38666.699999999997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36">
        <v>3561.2</v>
      </c>
      <c r="D17" s="19">
        <f t="shared" si="1"/>
        <v>3561.2</v>
      </c>
      <c r="E17" s="36">
        <v>4349.1000000000004</v>
      </c>
    </row>
    <row r="18" spans="1:5" s="23" customFormat="1">
      <c r="A18" s="27" t="s">
        <v>4</v>
      </c>
      <c r="B18" s="28" t="s">
        <v>3</v>
      </c>
      <c r="C18" s="52">
        <v>3</v>
      </c>
      <c r="D18" s="19">
        <f t="shared" si="1"/>
        <v>3</v>
      </c>
      <c r="E18" s="52">
        <v>3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99122.222222222219</v>
      </c>
      <c r="D19" s="19">
        <f t="shared" si="1"/>
        <v>99122.222222222219</v>
      </c>
      <c r="E19" s="36">
        <f>E17*1000/12/E18</f>
        <v>120808.33333333333</v>
      </c>
    </row>
    <row r="20" spans="1:5" s="23" customFormat="1" ht="25.5">
      <c r="A20" s="26" t="s">
        <v>63</v>
      </c>
      <c r="B20" s="21" t="s">
        <v>2</v>
      </c>
      <c r="C20" s="36">
        <v>37537</v>
      </c>
      <c r="D20" s="19">
        <f t="shared" si="1"/>
        <v>37537</v>
      </c>
      <c r="E20" s="36">
        <v>21915.200000000001</v>
      </c>
    </row>
    <row r="21" spans="1:5" s="23" customFormat="1">
      <c r="A21" s="27" t="s">
        <v>4</v>
      </c>
      <c r="B21" s="28" t="s">
        <v>3</v>
      </c>
      <c r="C21" s="52">
        <f>38.3-1.3</f>
        <v>37</v>
      </c>
      <c r="D21" s="19">
        <f t="shared" si="1"/>
        <v>37</v>
      </c>
      <c r="E21" s="52">
        <v>34.700000000000003</v>
      </c>
    </row>
    <row r="22" spans="1:5" ht="21.95" customHeight="1">
      <c r="A22" s="10" t="s">
        <v>27</v>
      </c>
      <c r="B22" s="6" t="s">
        <v>28</v>
      </c>
      <c r="C22" s="36">
        <f>C20/12/C21*1000</f>
        <v>84542.792792792796</v>
      </c>
      <c r="D22" s="19">
        <f t="shared" si="1"/>
        <v>84542.792792792796</v>
      </c>
      <c r="E22" s="36">
        <f t="shared" ref="E22" si="2">E20/12/E21*1000</f>
        <v>52630.163304514885</v>
      </c>
    </row>
    <row r="23" spans="1:5" ht="39">
      <c r="A23" s="14" t="s">
        <v>26</v>
      </c>
      <c r="B23" s="6" t="s">
        <v>2</v>
      </c>
      <c r="C23" s="36">
        <v>1010.5</v>
      </c>
      <c r="D23" s="19">
        <f t="shared" si="1"/>
        <v>1010.5</v>
      </c>
      <c r="E23" s="36">
        <v>1532.6</v>
      </c>
    </row>
    <row r="24" spans="1:5">
      <c r="A24" s="10" t="s">
        <v>4</v>
      </c>
      <c r="B24" s="11" t="s">
        <v>3</v>
      </c>
      <c r="C24" s="52">
        <v>1.5</v>
      </c>
      <c r="D24" s="19">
        <f t="shared" si="1"/>
        <v>1.5</v>
      </c>
      <c r="E24" s="52">
        <v>2</v>
      </c>
    </row>
    <row r="25" spans="1:5" ht="21.95" customHeight="1">
      <c r="A25" s="10" t="s">
        <v>27</v>
      </c>
      <c r="B25" s="6" t="s">
        <v>28</v>
      </c>
      <c r="C25" s="36">
        <f>C23/C24/12*1000</f>
        <v>56138.888888888883</v>
      </c>
      <c r="D25" s="19">
        <f t="shared" si="1"/>
        <v>56138.888888888883</v>
      </c>
      <c r="E25" s="36">
        <f t="shared" ref="E25" si="3">E23/E24/12*1000</f>
        <v>63858.333333333328</v>
      </c>
    </row>
    <row r="26" spans="1:5" ht="25.5">
      <c r="A26" s="7" t="s">
        <v>24</v>
      </c>
      <c r="B26" s="6" t="s">
        <v>2</v>
      </c>
      <c r="C26" s="36">
        <v>5755.4</v>
      </c>
      <c r="D26" s="19">
        <f t="shared" si="1"/>
        <v>5755.4</v>
      </c>
      <c r="E26" s="36">
        <v>10869.8</v>
      </c>
    </row>
    <row r="27" spans="1:5">
      <c r="A27" s="10" t="s">
        <v>4</v>
      </c>
      <c r="B27" s="11" t="s">
        <v>3</v>
      </c>
      <c r="C27" s="52">
        <v>11.5</v>
      </c>
      <c r="D27" s="19">
        <f t="shared" si="1"/>
        <v>11.5</v>
      </c>
      <c r="E27" s="52">
        <v>15.75</v>
      </c>
    </row>
    <row r="28" spans="1:5" ht="21.95" customHeight="1">
      <c r="A28" s="10" t="s">
        <v>27</v>
      </c>
      <c r="B28" s="6" t="s">
        <v>28</v>
      </c>
      <c r="C28" s="36">
        <f>C26/12/C27*1000</f>
        <v>41705.797101449272</v>
      </c>
      <c r="D28" s="19">
        <f t="shared" si="1"/>
        <v>41705.797101449272</v>
      </c>
      <c r="E28" s="36">
        <f t="shared" ref="E28" si="4">E26/12/E27*1000</f>
        <v>57512.169312169302</v>
      </c>
    </row>
    <row r="29" spans="1:5" ht="25.5">
      <c r="A29" s="5" t="s">
        <v>5</v>
      </c>
      <c r="B29" s="6" t="s">
        <v>2</v>
      </c>
      <c r="C29" s="19">
        <v>4200.8999999999996</v>
      </c>
      <c r="D29" s="19">
        <f t="shared" si="1"/>
        <v>4200.8999999999996</v>
      </c>
      <c r="E29" s="19">
        <v>4900</v>
      </c>
    </row>
    <row r="30" spans="1:5" ht="36.75">
      <c r="A30" s="12" t="s">
        <v>6</v>
      </c>
      <c r="B30" s="6" t="s">
        <v>2</v>
      </c>
      <c r="C30" s="19">
        <v>1714.7</v>
      </c>
      <c r="D30" s="19">
        <f t="shared" si="1"/>
        <v>1714.7</v>
      </c>
      <c r="E30" s="19">
        <v>3495.8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540</v>
      </c>
    </row>
    <row r="33" spans="1:5" ht="38.25" customHeight="1">
      <c r="A33" s="12" t="s">
        <v>9</v>
      </c>
      <c r="B33" s="6" t="s">
        <v>2</v>
      </c>
      <c r="C33" s="19">
        <f>700.8+2605.4</f>
        <v>3306.2</v>
      </c>
      <c r="D33" s="19">
        <f t="shared" si="1"/>
        <v>3306.2</v>
      </c>
      <c r="E33" s="19">
        <v>19250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F32" sqref="F32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68</v>
      </c>
      <c r="B2" s="43"/>
      <c r="C2" s="43"/>
      <c r="D2" s="43"/>
      <c r="E2" s="43"/>
    </row>
    <row r="3" spans="1:7">
      <c r="A3" s="1"/>
    </row>
    <row r="4" spans="1:7">
      <c r="A4" s="44" t="s">
        <v>53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45</v>
      </c>
      <c r="D11" s="19">
        <v>45</v>
      </c>
      <c r="E11" s="19">
        <v>45</v>
      </c>
    </row>
    <row r="12" spans="1:7" ht="25.5">
      <c r="A12" s="10" t="s">
        <v>25</v>
      </c>
      <c r="B12" s="6" t="s">
        <v>2</v>
      </c>
      <c r="C12" s="19">
        <f>(C13-C32)/C11</f>
        <v>739.36888888888882</v>
      </c>
      <c r="D12" s="19">
        <f t="shared" ref="D12:E12" si="0">(D13-D32)/D11</f>
        <v>739.36888888888882</v>
      </c>
      <c r="E12" s="19">
        <f t="shared" si="0"/>
        <v>833.33555555555552</v>
      </c>
    </row>
    <row r="13" spans="1:7" ht="25.5">
      <c r="A13" s="5" t="s">
        <v>11</v>
      </c>
      <c r="B13" s="6" t="s">
        <v>2</v>
      </c>
      <c r="C13" s="19">
        <v>33271.599999999999</v>
      </c>
      <c r="D13" s="19">
        <f>C13</f>
        <v>33271.599999999999</v>
      </c>
      <c r="E13" s="19">
        <f>E15+E29+E30+E31+E32+E33</f>
        <v>37500.1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23328.3</v>
      </c>
      <c r="D15" s="19">
        <f t="shared" si="1"/>
        <v>23328.3</v>
      </c>
      <c r="E15" s="19">
        <f>E17+E20+E23+E26</f>
        <v>21885.599999999999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54">
        <v>2364.1999999999998</v>
      </c>
      <c r="D17" s="19">
        <f t="shared" si="1"/>
        <v>2364.1999999999998</v>
      </c>
      <c r="E17" s="54">
        <v>2546.5</v>
      </c>
    </row>
    <row r="18" spans="1:5" s="23" customFormat="1">
      <c r="A18" s="27" t="s">
        <v>4</v>
      </c>
      <c r="B18" s="28" t="s">
        <v>3</v>
      </c>
      <c r="C18" s="55">
        <v>2</v>
      </c>
      <c r="D18" s="19">
        <f t="shared" si="1"/>
        <v>2</v>
      </c>
      <c r="E18" s="55">
        <v>2</v>
      </c>
    </row>
    <row r="19" spans="1:5" s="23" customFormat="1" ht="21.95" customHeight="1">
      <c r="A19" s="27" t="s">
        <v>27</v>
      </c>
      <c r="B19" s="21" t="s">
        <v>28</v>
      </c>
      <c r="C19" s="54">
        <f>C17/C18/12*1000+200</f>
        <v>98708.333333333328</v>
      </c>
      <c r="D19" s="19">
        <f t="shared" si="1"/>
        <v>98708.333333333328</v>
      </c>
      <c r="E19" s="54">
        <f>E17*1000/12/E18</f>
        <v>106104.16666666667</v>
      </c>
    </row>
    <row r="20" spans="1:5" s="23" customFormat="1" ht="25.5">
      <c r="A20" s="26" t="s">
        <v>63</v>
      </c>
      <c r="B20" s="21" t="s">
        <v>2</v>
      </c>
      <c r="C20" s="54">
        <v>11039</v>
      </c>
      <c r="D20" s="19">
        <f t="shared" si="1"/>
        <v>11039</v>
      </c>
      <c r="E20" s="54">
        <v>11408.3</v>
      </c>
    </row>
    <row r="21" spans="1:5" s="23" customFormat="1">
      <c r="A21" s="27" t="s">
        <v>4</v>
      </c>
      <c r="B21" s="28" t="s">
        <v>3</v>
      </c>
      <c r="C21" s="55">
        <f>16.7-5.7</f>
        <v>11</v>
      </c>
      <c r="D21" s="19">
        <f t="shared" si="1"/>
        <v>11</v>
      </c>
      <c r="E21" s="55">
        <v>11.44</v>
      </c>
    </row>
    <row r="22" spans="1:5" ht="21.95" customHeight="1">
      <c r="A22" s="10" t="s">
        <v>27</v>
      </c>
      <c r="B22" s="6" t="s">
        <v>28</v>
      </c>
      <c r="C22" s="54">
        <f>C20/12/C21*1000</f>
        <v>83628.787878787873</v>
      </c>
      <c r="D22" s="19">
        <f t="shared" si="1"/>
        <v>83628.787878787873</v>
      </c>
      <c r="E22" s="54">
        <f t="shared" ref="E22" si="2">E20/12/E21*1000</f>
        <v>83102.418414918415</v>
      </c>
    </row>
    <row r="23" spans="1:5" ht="39">
      <c r="A23" s="14" t="s">
        <v>26</v>
      </c>
      <c r="B23" s="6" t="s">
        <v>2</v>
      </c>
      <c r="C23" s="54">
        <v>1347.3</v>
      </c>
      <c r="D23" s="19">
        <f t="shared" si="1"/>
        <v>1347.3</v>
      </c>
      <c r="E23" s="54">
        <v>1432.9</v>
      </c>
    </row>
    <row r="24" spans="1:5">
      <c r="A24" s="10" t="s">
        <v>4</v>
      </c>
      <c r="B24" s="11" t="s">
        <v>3</v>
      </c>
      <c r="C24" s="55">
        <v>2</v>
      </c>
      <c r="D24" s="19">
        <f t="shared" si="1"/>
        <v>2</v>
      </c>
      <c r="E24" s="55">
        <v>2</v>
      </c>
    </row>
    <row r="25" spans="1:5" ht="21.95" customHeight="1">
      <c r="A25" s="10" t="s">
        <v>27</v>
      </c>
      <c r="B25" s="6" t="s">
        <v>28</v>
      </c>
      <c r="C25" s="54">
        <f>C23/C24/12*1000</f>
        <v>56137.499999999993</v>
      </c>
      <c r="D25" s="19">
        <f t="shared" si="1"/>
        <v>56137.499999999993</v>
      </c>
      <c r="E25" s="54">
        <f t="shared" ref="E25" si="3">E23/E24/12*1000</f>
        <v>59704.166666666672</v>
      </c>
    </row>
    <row r="26" spans="1:5" ht="25.5">
      <c r="A26" s="7" t="s">
        <v>24</v>
      </c>
      <c r="B26" s="6" t="s">
        <v>2</v>
      </c>
      <c r="C26" s="54">
        <v>5855.4</v>
      </c>
      <c r="D26" s="19">
        <f t="shared" si="1"/>
        <v>5855.4</v>
      </c>
      <c r="E26" s="54">
        <v>6497.9</v>
      </c>
    </row>
    <row r="27" spans="1:5">
      <c r="A27" s="10" t="s">
        <v>4</v>
      </c>
      <c r="B27" s="11" t="s">
        <v>3</v>
      </c>
      <c r="C27" s="55">
        <v>11.5</v>
      </c>
      <c r="D27" s="19">
        <f t="shared" si="1"/>
        <v>11.5</v>
      </c>
      <c r="E27" s="55">
        <v>12.8</v>
      </c>
    </row>
    <row r="28" spans="1:5" ht="21.95" customHeight="1">
      <c r="A28" s="10" t="s">
        <v>27</v>
      </c>
      <c r="B28" s="6" t="s">
        <v>28</v>
      </c>
      <c r="C28" s="54">
        <f>C26/12/C27*1000</f>
        <v>42430.434782608696</v>
      </c>
      <c r="D28" s="19">
        <f t="shared" si="1"/>
        <v>42430.434782608696</v>
      </c>
      <c r="E28" s="54">
        <f t="shared" ref="E28" si="4">E26/12/E27*1000</f>
        <v>42304.036458333328</v>
      </c>
    </row>
    <row r="29" spans="1:5" ht="25.5">
      <c r="A29" s="5" t="s">
        <v>5</v>
      </c>
      <c r="B29" s="6" t="s">
        <v>2</v>
      </c>
      <c r="C29" s="19">
        <v>2722.9</v>
      </c>
      <c r="D29" s="19">
        <f t="shared" si="1"/>
        <v>2722.9</v>
      </c>
      <c r="E29" s="19">
        <v>3522</v>
      </c>
    </row>
    <row r="30" spans="1:5" ht="36.75">
      <c r="A30" s="12" t="s">
        <v>6</v>
      </c>
      <c r="B30" s="6" t="s">
        <v>2</v>
      </c>
      <c r="C30" s="19">
        <v>2181.5</v>
      </c>
      <c r="D30" s="19">
        <f t="shared" si="1"/>
        <v>2181.5</v>
      </c>
      <c r="E30" s="19">
        <v>3140.5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0</v>
      </c>
    </row>
    <row r="33" spans="1:5" ht="38.25" customHeight="1">
      <c r="A33" s="12" t="s">
        <v>9</v>
      </c>
      <c r="B33" s="6" t="s">
        <v>2</v>
      </c>
      <c r="C33" s="19">
        <f>622.8+7139</f>
        <v>7761.8</v>
      </c>
      <c r="D33" s="19">
        <f t="shared" si="1"/>
        <v>7761.8</v>
      </c>
      <c r="E33" s="19">
        <v>8952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F29" sqref="F29"/>
    </sheetView>
  </sheetViews>
  <sheetFormatPr defaultColWidth="9.140625" defaultRowHeight="20.25"/>
  <cols>
    <col min="1" max="1" width="69.42578125" style="2" customWidth="1"/>
    <col min="2" max="2" width="9.140625" style="3"/>
    <col min="3" max="5" width="14.140625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68</v>
      </c>
      <c r="B2" s="43"/>
      <c r="C2" s="43"/>
      <c r="D2" s="43"/>
      <c r="E2" s="43"/>
    </row>
    <row r="3" spans="1:7">
      <c r="A3" s="1"/>
    </row>
    <row r="4" spans="1:7" ht="44.25" customHeight="1">
      <c r="A4" s="50" t="s">
        <v>31</v>
      </c>
      <c r="B4" s="50"/>
      <c r="C4" s="50"/>
      <c r="D4" s="50"/>
      <c r="E4" s="50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35" t="s">
        <v>14</v>
      </c>
    </row>
    <row r="11" spans="1:7">
      <c r="A11" s="5" t="s">
        <v>22</v>
      </c>
      <c r="B11" s="6" t="s">
        <v>10</v>
      </c>
      <c r="C11" s="36">
        <v>1310</v>
      </c>
      <c r="D11" s="36">
        <v>1310</v>
      </c>
      <c r="E11" s="36">
        <v>1310</v>
      </c>
      <c r="F11" s="23"/>
    </row>
    <row r="12" spans="1:7" ht="25.5">
      <c r="A12" s="10" t="s">
        <v>25</v>
      </c>
      <c r="B12" s="6" t="s">
        <v>2</v>
      </c>
      <c r="C12" s="36">
        <f>(C13-C32)/C11</f>
        <v>115.83351145038168</v>
      </c>
      <c r="D12" s="36">
        <f t="shared" ref="D12:E12" si="0">(D13-D32)/D11</f>
        <v>115.83351145038168</v>
      </c>
      <c r="E12" s="36">
        <f t="shared" si="0"/>
        <v>129.90050381679387</v>
      </c>
      <c r="F12" s="23"/>
    </row>
    <row r="13" spans="1:7" ht="25.5">
      <c r="A13" s="5" t="s">
        <v>11</v>
      </c>
      <c r="B13" s="6" t="s">
        <v>2</v>
      </c>
      <c r="C13" s="36">
        <v>151741.9</v>
      </c>
      <c r="D13" s="36">
        <v>151741.9</v>
      </c>
      <c r="E13" s="36">
        <f>E15+E29+E30+E31+E32+E33</f>
        <v>170738.45999999996</v>
      </c>
      <c r="F13" s="23"/>
    </row>
    <row r="14" spans="1:7">
      <c r="A14" s="8" t="s">
        <v>0</v>
      </c>
      <c r="B14" s="9"/>
      <c r="C14" s="36">
        <v>0</v>
      </c>
      <c r="D14" s="36">
        <v>0</v>
      </c>
      <c r="E14" s="36">
        <v>0</v>
      </c>
      <c r="F14" s="23"/>
      <c r="G14" s="18"/>
    </row>
    <row r="15" spans="1:7" ht="25.5">
      <c r="A15" s="5" t="s">
        <v>12</v>
      </c>
      <c r="B15" s="6" t="s">
        <v>2</v>
      </c>
      <c r="C15" s="36">
        <v>132116.70000000001</v>
      </c>
      <c r="D15" s="36">
        <v>132116.70000000001</v>
      </c>
      <c r="E15" s="36">
        <f>E17+E20+E23+E26</f>
        <v>122390.86</v>
      </c>
      <c r="F15" s="23"/>
    </row>
    <row r="16" spans="1:7">
      <c r="A16" s="8" t="s">
        <v>1</v>
      </c>
      <c r="B16" s="9"/>
      <c r="C16" s="36">
        <v>0</v>
      </c>
      <c r="D16" s="36">
        <v>0</v>
      </c>
      <c r="E16" s="36">
        <v>0</v>
      </c>
      <c r="F16" s="23"/>
    </row>
    <row r="17" spans="1:6" s="23" customFormat="1" ht="25.5">
      <c r="A17" s="26" t="s">
        <v>62</v>
      </c>
      <c r="B17" s="21" t="s">
        <v>2</v>
      </c>
      <c r="C17" s="36">
        <f>(109.986+583.552)*12</f>
        <v>8322.4560000000001</v>
      </c>
      <c r="D17" s="36">
        <v>8322.4560000000001</v>
      </c>
      <c r="E17" s="36">
        <v>8210.1</v>
      </c>
    </row>
    <row r="18" spans="1:6" s="23" customFormat="1">
      <c r="A18" s="27" t="s">
        <v>4</v>
      </c>
      <c r="B18" s="28" t="s">
        <v>3</v>
      </c>
      <c r="C18" s="36">
        <v>7</v>
      </c>
      <c r="D18" s="36">
        <v>7</v>
      </c>
      <c r="E18" s="36">
        <v>7</v>
      </c>
    </row>
    <row r="19" spans="1:6" s="23" customFormat="1" ht="21.95" customHeight="1">
      <c r="A19" s="27" t="s">
        <v>27</v>
      </c>
      <c r="B19" s="21" t="s">
        <v>28</v>
      </c>
      <c r="C19" s="36">
        <f>C17/C18/12*1000+200</f>
        <v>99276.85714285713</v>
      </c>
      <c r="D19" s="36">
        <v>99276.857000000004</v>
      </c>
      <c r="E19" s="36">
        <f>E17*1000/12/E18</f>
        <v>97739.28571428571</v>
      </c>
    </row>
    <row r="20" spans="1:6" s="23" customFormat="1" ht="25.5">
      <c r="A20" s="26" t="s">
        <v>63</v>
      </c>
      <c r="B20" s="21" t="s">
        <v>2</v>
      </c>
      <c r="C20" s="36">
        <f>17697*3.85*12/1000*C21+2583.3</f>
        <v>85978.642799999987</v>
      </c>
      <c r="D20" s="36">
        <v>85978.642999999996</v>
      </c>
      <c r="E20" s="36">
        <v>89712.86</v>
      </c>
    </row>
    <row r="21" spans="1:6">
      <c r="A21" s="10" t="s">
        <v>4</v>
      </c>
      <c r="B21" s="11" t="s">
        <v>3</v>
      </c>
      <c r="C21" s="36">
        <v>102</v>
      </c>
      <c r="D21" s="36">
        <v>102</v>
      </c>
      <c r="E21" s="36">
        <v>106.6</v>
      </c>
      <c r="F21" s="23"/>
    </row>
    <row r="22" spans="1:6" ht="21.95" customHeight="1">
      <c r="A22" s="10" t="s">
        <v>27</v>
      </c>
      <c r="B22" s="6" t="s">
        <v>28</v>
      </c>
      <c r="C22" s="36">
        <f>C20/12/C21*1000</f>
        <v>70243.989215686262</v>
      </c>
      <c r="D22" s="36">
        <f t="shared" ref="D22:E22" si="1">D20/12/D21*1000</f>
        <v>70243.98937908496</v>
      </c>
      <c r="E22" s="36">
        <f t="shared" si="1"/>
        <v>70132.004377736099</v>
      </c>
      <c r="F22" s="23"/>
    </row>
    <row r="23" spans="1:6" ht="39">
      <c r="A23" s="14" t="s">
        <v>26</v>
      </c>
      <c r="B23" s="6" t="s">
        <v>2</v>
      </c>
      <c r="C23" s="36">
        <v>9852.5</v>
      </c>
      <c r="D23" s="36">
        <v>9852.5</v>
      </c>
      <c r="E23" s="36">
        <v>7708.9</v>
      </c>
      <c r="F23" s="23"/>
    </row>
    <row r="24" spans="1:6">
      <c r="A24" s="10" t="s">
        <v>4</v>
      </c>
      <c r="B24" s="11" t="s">
        <v>3</v>
      </c>
      <c r="C24" s="36">
        <v>10.25</v>
      </c>
      <c r="D24" s="36">
        <v>10.25</v>
      </c>
      <c r="E24" s="36">
        <v>8</v>
      </c>
    </row>
    <row r="25" spans="1:6" ht="21.95" customHeight="1">
      <c r="A25" s="10" t="s">
        <v>27</v>
      </c>
      <c r="B25" s="6" t="s">
        <v>28</v>
      </c>
      <c r="C25" s="36">
        <f>C23/C24/12*1000</f>
        <v>80101.626016260168</v>
      </c>
      <c r="D25" s="36">
        <f t="shared" ref="D25:E25" si="2">D23/D24/12*1000</f>
        <v>80101.626016260168</v>
      </c>
      <c r="E25" s="36">
        <f t="shared" si="2"/>
        <v>80301.041666666657</v>
      </c>
    </row>
    <row r="26" spans="1:6" ht="25.5">
      <c r="A26" s="7" t="s">
        <v>24</v>
      </c>
      <c r="B26" s="6" t="s">
        <v>2</v>
      </c>
      <c r="C26" s="36">
        <v>13289.6</v>
      </c>
      <c r="D26" s="36">
        <v>13289.6</v>
      </c>
      <c r="E26" s="36">
        <v>16759</v>
      </c>
    </row>
    <row r="27" spans="1:6">
      <c r="A27" s="10" t="s">
        <v>4</v>
      </c>
      <c r="B27" s="11" t="s">
        <v>3</v>
      </c>
      <c r="C27" s="36">
        <v>24</v>
      </c>
      <c r="D27" s="36">
        <v>24</v>
      </c>
      <c r="E27" s="36">
        <v>25.55</v>
      </c>
    </row>
    <row r="28" spans="1:6" ht="21.95" customHeight="1">
      <c r="A28" s="10" t="s">
        <v>27</v>
      </c>
      <c r="B28" s="6" t="s">
        <v>28</v>
      </c>
      <c r="C28" s="36">
        <f>C26/12/C27*1000</f>
        <v>46144.444444444445</v>
      </c>
      <c r="D28" s="36">
        <f t="shared" ref="D28:E28" si="3">D26/12/D27*1000</f>
        <v>46144.444444444445</v>
      </c>
      <c r="E28" s="36">
        <f t="shared" si="3"/>
        <v>54660.795825179383</v>
      </c>
    </row>
    <row r="29" spans="1:6" ht="25.5">
      <c r="A29" s="5" t="s">
        <v>5</v>
      </c>
      <c r="B29" s="6" t="s">
        <v>2</v>
      </c>
      <c r="C29" s="36">
        <f>8508.2+5249+916.3</f>
        <v>14673.5</v>
      </c>
      <c r="D29" s="36">
        <v>14673.5</v>
      </c>
      <c r="E29" s="36">
        <v>16178</v>
      </c>
    </row>
    <row r="30" spans="1:6" ht="36.75">
      <c r="A30" s="12" t="s">
        <v>6</v>
      </c>
      <c r="B30" s="6" t="s">
        <v>2</v>
      </c>
      <c r="C30" s="36">
        <f>8029.9+1023.6</f>
        <v>9053.5</v>
      </c>
      <c r="D30" s="36">
        <v>9053.5</v>
      </c>
      <c r="E30" s="36">
        <v>13290.8</v>
      </c>
    </row>
    <row r="31" spans="1:6" ht="25.5">
      <c r="A31" s="12" t="s">
        <v>7</v>
      </c>
      <c r="B31" s="6" t="s">
        <v>2</v>
      </c>
      <c r="C31" s="36">
        <v>0</v>
      </c>
      <c r="D31" s="36">
        <v>0</v>
      </c>
      <c r="E31" s="36">
        <v>0</v>
      </c>
    </row>
    <row r="32" spans="1:6" ht="36.75">
      <c r="A32" s="12" t="s">
        <v>8</v>
      </c>
      <c r="B32" s="6" t="s">
        <v>2</v>
      </c>
      <c r="C32" s="19">
        <v>0</v>
      </c>
      <c r="D32" s="19">
        <v>0</v>
      </c>
      <c r="E32" s="19">
        <v>568.79999999999995</v>
      </c>
    </row>
    <row r="33" spans="1:5" ht="38.25" customHeight="1">
      <c r="A33" s="12" t="s">
        <v>9</v>
      </c>
      <c r="B33" s="6" t="s">
        <v>2</v>
      </c>
      <c r="C33" s="19">
        <f>6023.3+4548.4</f>
        <v>10571.7</v>
      </c>
      <c r="D33" s="19">
        <v>10571.7</v>
      </c>
      <c r="E33" s="19">
        <v>18310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33"/>
  <sheetViews>
    <sheetView topLeftCell="A4" workbookViewId="0">
      <selection activeCell="F29" sqref="F29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74</v>
      </c>
      <c r="B2" s="43"/>
      <c r="C2" s="43"/>
      <c r="D2" s="43"/>
      <c r="E2" s="43"/>
    </row>
    <row r="3" spans="1:7">
      <c r="A3" s="1"/>
    </row>
    <row r="4" spans="1:7">
      <c r="A4" s="44" t="s">
        <v>54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67</v>
      </c>
      <c r="D11" s="19">
        <v>67</v>
      </c>
      <c r="E11" s="19">
        <v>67</v>
      </c>
    </row>
    <row r="12" spans="1:7" ht="25.5">
      <c r="A12" s="10" t="s">
        <v>25</v>
      </c>
      <c r="B12" s="6" t="s">
        <v>2</v>
      </c>
      <c r="C12" s="19">
        <f>(C13-C32)/C11</f>
        <v>522.69701492537308</v>
      </c>
      <c r="D12" s="19">
        <f t="shared" ref="D12:E12" si="0">(D13-D32)/D11</f>
        <v>522.69701492537308</v>
      </c>
      <c r="E12" s="19">
        <f t="shared" si="0"/>
        <v>599.87611940298518</v>
      </c>
    </row>
    <row r="13" spans="1:7" ht="25.5">
      <c r="A13" s="5" t="s">
        <v>11</v>
      </c>
      <c r="B13" s="6" t="s">
        <v>2</v>
      </c>
      <c r="C13" s="19">
        <v>35020.699999999997</v>
      </c>
      <c r="D13" s="19">
        <f>C13</f>
        <v>35020.699999999997</v>
      </c>
      <c r="E13" s="19">
        <f>E15+E29+E30+E31+E32+E33</f>
        <v>41393.58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26490.6</v>
      </c>
      <c r="D15" s="19">
        <f t="shared" si="1"/>
        <v>26490.6</v>
      </c>
      <c r="E15" s="19">
        <f>E17+E20+E23+E26</f>
        <v>24319.4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6" s="23" customFormat="1" ht="25.5">
      <c r="A17" s="26" t="s">
        <v>62</v>
      </c>
      <c r="B17" s="21" t="s">
        <v>2</v>
      </c>
      <c r="C17" s="54">
        <v>2354.1999999999998</v>
      </c>
      <c r="D17" s="19">
        <f t="shared" si="1"/>
        <v>2354.1999999999998</v>
      </c>
      <c r="E17" s="54">
        <v>2545.1</v>
      </c>
    </row>
    <row r="18" spans="1:6" s="23" customFormat="1">
      <c r="A18" s="27" t="s">
        <v>4</v>
      </c>
      <c r="B18" s="28" t="s">
        <v>3</v>
      </c>
      <c r="C18" s="55">
        <v>2</v>
      </c>
      <c r="D18" s="19">
        <f t="shared" si="1"/>
        <v>2</v>
      </c>
      <c r="E18" s="55">
        <v>2</v>
      </c>
    </row>
    <row r="19" spans="1:6" s="23" customFormat="1" ht="21.95" customHeight="1">
      <c r="A19" s="27" t="s">
        <v>27</v>
      </c>
      <c r="B19" s="21" t="s">
        <v>28</v>
      </c>
      <c r="C19" s="54">
        <f>C17/C18/12*1000+200</f>
        <v>98291.666666666657</v>
      </c>
      <c r="D19" s="19">
        <f t="shared" si="1"/>
        <v>98291.666666666657</v>
      </c>
      <c r="E19" s="54">
        <f>E17*1000/12/E18</f>
        <v>106045.83333333333</v>
      </c>
    </row>
    <row r="20" spans="1:6" s="23" customFormat="1" ht="25.5">
      <c r="A20" s="26" t="s">
        <v>63</v>
      </c>
      <c r="B20" s="21" t="s">
        <v>2</v>
      </c>
      <c r="C20" s="54">
        <v>15983.1</v>
      </c>
      <c r="D20" s="19">
        <f t="shared" si="1"/>
        <v>15983.1</v>
      </c>
      <c r="E20" s="54">
        <v>12912.2</v>
      </c>
    </row>
    <row r="21" spans="1:6" s="23" customFormat="1">
      <c r="A21" s="27" t="s">
        <v>4</v>
      </c>
      <c r="B21" s="28" t="s">
        <v>3</v>
      </c>
      <c r="C21" s="55">
        <v>16.7</v>
      </c>
      <c r="D21" s="19">
        <f t="shared" si="1"/>
        <v>16.7</v>
      </c>
      <c r="E21" s="55">
        <v>13.24</v>
      </c>
    </row>
    <row r="22" spans="1:6" s="23" customFormat="1" ht="21.95" customHeight="1">
      <c r="A22" s="27" t="s">
        <v>27</v>
      </c>
      <c r="B22" s="21" t="s">
        <v>28</v>
      </c>
      <c r="C22" s="54">
        <f>C20/12/C21*1000</f>
        <v>79755.988023952101</v>
      </c>
      <c r="D22" s="19">
        <f t="shared" si="1"/>
        <v>79755.988023952101</v>
      </c>
      <c r="E22" s="54">
        <f t="shared" ref="E22" si="2">E20/12/E21*1000</f>
        <v>81270.140986908358</v>
      </c>
    </row>
    <row r="23" spans="1:6" ht="39">
      <c r="A23" s="14" t="s">
        <v>26</v>
      </c>
      <c r="B23" s="6" t="s">
        <v>2</v>
      </c>
      <c r="C23" s="54">
        <v>1348.3</v>
      </c>
      <c r="D23" s="19">
        <f t="shared" si="1"/>
        <v>1348.3</v>
      </c>
      <c r="E23" s="54">
        <v>1800.7</v>
      </c>
    </row>
    <row r="24" spans="1:6">
      <c r="A24" s="10" t="s">
        <v>4</v>
      </c>
      <c r="B24" s="11" t="s">
        <v>3</v>
      </c>
      <c r="C24" s="55">
        <v>1.5</v>
      </c>
      <c r="D24" s="19">
        <f t="shared" si="1"/>
        <v>1.5</v>
      </c>
      <c r="E24" s="55">
        <v>2</v>
      </c>
      <c r="F24" s="2" t="s">
        <v>76</v>
      </c>
    </row>
    <row r="25" spans="1:6" ht="21.95" customHeight="1">
      <c r="A25" s="10" t="s">
        <v>27</v>
      </c>
      <c r="B25" s="6" t="s">
        <v>28</v>
      </c>
      <c r="C25" s="54">
        <f>C23/C24/12*1000</f>
        <v>74905.555555555547</v>
      </c>
      <c r="D25" s="19">
        <f t="shared" si="1"/>
        <v>74905.555555555547</v>
      </c>
      <c r="E25" s="54">
        <f t="shared" ref="E25" si="3">E23/E24/12*1000</f>
        <v>75029.166666666672</v>
      </c>
    </row>
    <row r="26" spans="1:6" ht="25.5">
      <c r="A26" s="7" t="s">
        <v>24</v>
      </c>
      <c r="B26" s="6" t="s">
        <v>2</v>
      </c>
      <c r="C26" s="54">
        <v>3855.4</v>
      </c>
      <c r="D26" s="19">
        <f t="shared" si="1"/>
        <v>3855.4</v>
      </c>
      <c r="E26" s="54">
        <v>7061.4</v>
      </c>
    </row>
    <row r="27" spans="1:6">
      <c r="A27" s="10" t="s">
        <v>4</v>
      </c>
      <c r="B27" s="11" t="s">
        <v>3</v>
      </c>
      <c r="C27" s="55">
        <f>13.75-6</f>
        <v>7.75</v>
      </c>
      <c r="D27" s="19">
        <f t="shared" si="1"/>
        <v>7.75</v>
      </c>
      <c r="E27" s="55">
        <v>14.05</v>
      </c>
    </row>
    <row r="28" spans="1:6" ht="21.95" customHeight="1">
      <c r="A28" s="10" t="s">
        <v>27</v>
      </c>
      <c r="B28" s="6" t="s">
        <v>28</v>
      </c>
      <c r="C28" s="54">
        <f>C26/12/C27*1000</f>
        <v>41455.913978494631</v>
      </c>
      <c r="D28" s="19">
        <f t="shared" si="1"/>
        <v>41455.913978494631</v>
      </c>
      <c r="E28" s="54">
        <f t="shared" ref="E28" si="4">E26/12/E27*1000</f>
        <v>41882.562277580066</v>
      </c>
    </row>
    <row r="29" spans="1:6" ht="25.5">
      <c r="A29" s="5" t="s">
        <v>5</v>
      </c>
      <c r="B29" s="6" t="s">
        <v>2</v>
      </c>
      <c r="C29" s="19">
        <v>2949.6</v>
      </c>
      <c r="D29" s="19">
        <f t="shared" si="1"/>
        <v>2949.6</v>
      </c>
      <c r="E29" s="19">
        <v>3549</v>
      </c>
    </row>
    <row r="30" spans="1:6" ht="36.75">
      <c r="A30" s="12" t="s">
        <v>6</v>
      </c>
      <c r="B30" s="6" t="s">
        <v>2</v>
      </c>
      <c r="C30" s="19">
        <v>1954.2</v>
      </c>
      <c r="D30" s="19">
        <f t="shared" si="1"/>
        <v>1954.2</v>
      </c>
      <c r="E30" s="19">
        <v>3803.3</v>
      </c>
    </row>
    <row r="31" spans="1:6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6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1201.8800000000001</v>
      </c>
    </row>
    <row r="33" spans="1:5" ht="38.25" customHeight="1">
      <c r="A33" s="12" t="s">
        <v>9</v>
      </c>
      <c r="B33" s="6" t="s">
        <v>2</v>
      </c>
      <c r="C33" s="19">
        <f>548.2+6027.7</f>
        <v>6575.9</v>
      </c>
      <c r="D33" s="19">
        <f t="shared" si="1"/>
        <v>6575.9</v>
      </c>
      <c r="E33" s="19">
        <v>8520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F26" sqref="F26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73</v>
      </c>
      <c r="B2" s="43"/>
      <c r="C2" s="43"/>
      <c r="D2" s="43"/>
      <c r="E2" s="43"/>
    </row>
    <row r="3" spans="1:7">
      <c r="A3" s="1"/>
    </row>
    <row r="4" spans="1:7">
      <c r="A4" s="44" t="s">
        <v>55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131</v>
      </c>
      <c r="D11" s="19">
        <v>131</v>
      </c>
      <c r="E11" s="19">
        <v>131</v>
      </c>
    </row>
    <row r="12" spans="1:7" ht="25.5">
      <c r="A12" s="10" t="s">
        <v>25</v>
      </c>
      <c r="B12" s="6" t="s">
        <v>2</v>
      </c>
      <c r="C12" s="19">
        <f>(C13-C32)/C11</f>
        <v>336.0419847328244</v>
      </c>
      <c r="D12" s="19">
        <f t="shared" ref="D12:E12" si="0">(D13-D32)/D11</f>
        <v>336.0419847328244</v>
      </c>
      <c r="E12" s="19">
        <f t="shared" si="0"/>
        <v>394.2396946564885</v>
      </c>
    </row>
    <row r="13" spans="1:7" ht="25.5">
      <c r="A13" s="5" t="s">
        <v>11</v>
      </c>
      <c r="B13" s="6" t="s">
        <v>2</v>
      </c>
      <c r="C13" s="19">
        <v>57922.5</v>
      </c>
      <c r="D13" s="19">
        <f>C13</f>
        <v>57922.5</v>
      </c>
      <c r="E13" s="19">
        <f>E15+E29+E30+E31+E32+E33</f>
        <v>65546.399999999994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40926.400000000001</v>
      </c>
      <c r="D15" s="19">
        <f t="shared" si="1"/>
        <v>40926.400000000001</v>
      </c>
      <c r="E15" s="19">
        <f>E17+E20+E23+E26</f>
        <v>42067.8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54">
        <v>3561.2</v>
      </c>
      <c r="D17" s="19">
        <f t="shared" si="1"/>
        <v>3561.2</v>
      </c>
      <c r="E17" s="54">
        <v>3967.8</v>
      </c>
    </row>
    <row r="18" spans="1:5" s="23" customFormat="1">
      <c r="A18" s="27" t="s">
        <v>4</v>
      </c>
      <c r="B18" s="28" t="s">
        <v>3</v>
      </c>
      <c r="C18" s="55">
        <v>3</v>
      </c>
      <c r="D18" s="19">
        <f t="shared" si="1"/>
        <v>3</v>
      </c>
      <c r="E18" s="55">
        <v>3</v>
      </c>
    </row>
    <row r="19" spans="1:5" s="23" customFormat="1" ht="21.95" customHeight="1">
      <c r="A19" s="27" t="s">
        <v>27</v>
      </c>
      <c r="B19" s="21" t="s">
        <v>28</v>
      </c>
      <c r="C19" s="54">
        <f>C17/C18/12*1000+200</f>
        <v>99122.222222222219</v>
      </c>
      <c r="D19" s="19">
        <f t="shared" si="1"/>
        <v>99122.222222222219</v>
      </c>
      <c r="E19" s="54">
        <f>E17*1000/12/E18</f>
        <v>110216.66666666667</v>
      </c>
    </row>
    <row r="20" spans="1:5" s="23" customFormat="1" ht="25.5">
      <c r="A20" s="26" t="s">
        <v>63</v>
      </c>
      <c r="B20" s="21" t="s">
        <v>2</v>
      </c>
      <c r="C20" s="54">
        <v>25448</v>
      </c>
      <c r="D20" s="19">
        <f t="shared" si="1"/>
        <v>25448</v>
      </c>
      <c r="E20" s="54">
        <v>27312.5</v>
      </c>
    </row>
    <row r="21" spans="1:5" s="23" customFormat="1">
      <c r="A21" s="27" t="s">
        <v>4</v>
      </c>
      <c r="B21" s="28" t="s">
        <v>3</v>
      </c>
      <c r="C21" s="55">
        <f>21.1-2</f>
        <v>19.100000000000001</v>
      </c>
      <c r="D21" s="19">
        <f t="shared" si="1"/>
        <v>19.100000000000001</v>
      </c>
      <c r="E21" s="55">
        <v>21.2</v>
      </c>
    </row>
    <row r="22" spans="1:5" ht="21.95" customHeight="1">
      <c r="A22" s="10" t="s">
        <v>27</v>
      </c>
      <c r="B22" s="6" t="s">
        <v>28</v>
      </c>
      <c r="C22" s="54">
        <f>C20/12/C21*1000</f>
        <v>111029.66841186734</v>
      </c>
      <c r="D22" s="19">
        <f t="shared" si="1"/>
        <v>111029.66841186734</v>
      </c>
      <c r="E22" s="54">
        <f t="shared" ref="E22" si="2">E20/12/E21*1000</f>
        <v>107360.45597484277</v>
      </c>
    </row>
    <row r="23" spans="1:5" ht="39">
      <c r="A23" s="14" t="s">
        <v>26</v>
      </c>
      <c r="B23" s="6" t="s">
        <v>2</v>
      </c>
      <c r="C23" s="54">
        <v>675.3</v>
      </c>
      <c r="D23" s="19">
        <f t="shared" si="1"/>
        <v>675.3</v>
      </c>
      <c r="E23" s="54">
        <v>3085.6</v>
      </c>
    </row>
    <row r="24" spans="1:5">
      <c r="A24" s="10" t="s">
        <v>4</v>
      </c>
      <c r="B24" s="11" t="s">
        <v>3</v>
      </c>
      <c r="C24" s="55">
        <v>1</v>
      </c>
      <c r="D24" s="19">
        <f t="shared" si="1"/>
        <v>1</v>
      </c>
      <c r="E24" s="55">
        <v>4.5</v>
      </c>
    </row>
    <row r="25" spans="1:5" ht="21.95" customHeight="1">
      <c r="A25" s="10" t="s">
        <v>27</v>
      </c>
      <c r="B25" s="6" t="s">
        <v>28</v>
      </c>
      <c r="C25" s="54">
        <f>C23/C24/12*1000</f>
        <v>56275</v>
      </c>
      <c r="D25" s="19">
        <f t="shared" si="1"/>
        <v>56275</v>
      </c>
      <c r="E25" s="54">
        <f t="shared" ref="E25" si="3">E23/E24/12*1000</f>
        <v>57140.740740740737</v>
      </c>
    </row>
    <row r="26" spans="1:5" ht="25.5">
      <c r="A26" s="7" t="s">
        <v>24</v>
      </c>
      <c r="B26" s="6" t="s">
        <v>2</v>
      </c>
      <c r="C26" s="54">
        <v>7480</v>
      </c>
      <c r="D26" s="19">
        <f t="shared" si="1"/>
        <v>7480</v>
      </c>
      <c r="E26" s="54">
        <v>7701.9</v>
      </c>
    </row>
    <row r="27" spans="1:5">
      <c r="A27" s="10" t="s">
        <v>4</v>
      </c>
      <c r="B27" s="11" t="s">
        <v>3</v>
      </c>
      <c r="C27" s="55">
        <v>15</v>
      </c>
      <c r="D27" s="19">
        <f t="shared" si="1"/>
        <v>15</v>
      </c>
      <c r="E27" s="55">
        <v>15.25</v>
      </c>
    </row>
    <row r="28" spans="1:5" ht="21.95" customHeight="1">
      <c r="A28" s="10" t="s">
        <v>27</v>
      </c>
      <c r="B28" s="6" t="s">
        <v>28</v>
      </c>
      <c r="C28" s="54">
        <f>C26/12/C27*1000</f>
        <v>41555.555555555555</v>
      </c>
      <c r="D28" s="19">
        <f t="shared" si="1"/>
        <v>41555.555555555555</v>
      </c>
      <c r="E28" s="54">
        <f t="shared" ref="E28" si="4">E26/12/E27*1000</f>
        <v>42086.885245901634</v>
      </c>
    </row>
    <row r="29" spans="1:5" ht="25.5">
      <c r="A29" s="5" t="s">
        <v>5</v>
      </c>
      <c r="B29" s="6" t="s">
        <v>2</v>
      </c>
      <c r="C29" s="19">
        <v>3762</v>
      </c>
      <c r="D29" s="19">
        <f t="shared" si="1"/>
        <v>3762</v>
      </c>
      <c r="E29" s="19">
        <v>4262</v>
      </c>
    </row>
    <row r="30" spans="1:5" ht="36.75">
      <c r="A30" s="12" t="s">
        <v>6</v>
      </c>
      <c r="B30" s="6" t="s">
        <v>2</v>
      </c>
      <c r="C30" s="19">
        <v>2064.8000000000002</v>
      </c>
      <c r="D30" s="19">
        <f t="shared" si="1"/>
        <v>2064.8000000000002</v>
      </c>
      <c r="E30" s="19">
        <v>3280.6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13901</v>
      </c>
      <c r="D32" s="19">
        <f t="shared" si="1"/>
        <v>13901</v>
      </c>
      <c r="E32" s="19">
        <f>D32</f>
        <v>13901</v>
      </c>
    </row>
    <row r="33" spans="1:5" ht="38.25" customHeight="1">
      <c r="A33" s="12" t="s">
        <v>9</v>
      </c>
      <c r="B33" s="6" t="s">
        <v>2</v>
      </c>
      <c r="C33" s="19">
        <f>840.8+189.5</f>
        <v>1030.3</v>
      </c>
      <c r="D33" s="19">
        <f t="shared" si="1"/>
        <v>1030.3</v>
      </c>
      <c r="E33" s="19">
        <v>2035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F32" sqref="F32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68</v>
      </c>
      <c r="B2" s="43"/>
      <c r="C2" s="43"/>
      <c r="D2" s="43"/>
      <c r="E2" s="43"/>
    </row>
    <row r="3" spans="1:7">
      <c r="A3" s="1"/>
    </row>
    <row r="4" spans="1:7">
      <c r="A4" s="44" t="s">
        <v>56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136</v>
      </c>
      <c r="D11" s="19">
        <v>136</v>
      </c>
      <c r="E11" s="19">
        <v>136</v>
      </c>
    </row>
    <row r="12" spans="1:7" ht="25.5">
      <c r="A12" s="10" t="s">
        <v>25</v>
      </c>
      <c r="B12" s="6" t="s">
        <v>2</v>
      </c>
      <c r="C12" s="19">
        <f>(C13-C32)/C11</f>
        <v>452.04338235294119</v>
      </c>
      <c r="D12" s="19">
        <f t="shared" ref="D12:E12" si="0">(D13-D32)/D11</f>
        <v>452.04338235294119</v>
      </c>
      <c r="E12" s="19">
        <f t="shared" si="0"/>
        <v>479.85735294117649</v>
      </c>
    </row>
    <row r="13" spans="1:7" ht="25.5">
      <c r="A13" s="5" t="s">
        <v>11</v>
      </c>
      <c r="B13" s="6" t="s">
        <v>2</v>
      </c>
      <c r="C13" s="19">
        <v>61477.9</v>
      </c>
      <c r="D13" s="19">
        <f>C13</f>
        <v>61477.9</v>
      </c>
      <c r="E13" s="19">
        <f>E15+E29+E30+E31+E32+E33</f>
        <v>65260.600000000006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48624.2</v>
      </c>
      <c r="D15" s="19">
        <f t="shared" si="1"/>
        <v>48624.2</v>
      </c>
      <c r="E15" s="19">
        <f>E17+E20+E23+E26</f>
        <v>41910.800000000003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36">
        <v>3561.2</v>
      </c>
      <c r="D17" s="19">
        <f t="shared" si="1"/>
        <v>3561.2</v>
      </c>
      <c r="E17" s="36">
        <v>2385.1999999999998</v>
      </c>
    </row>
    <row r="18" spans="1:5" s="23" customFormat="1">
      <c r="A18" s="27" t="s">
        <v>4</v>
      </c>
      <c r="B18" s="28" t="s">
        <v>3</v>
      </c>
      <c r="C18" s="52">
        <v>3</v>
      </c>
      <c r="D18" s="19">
        <f t="shared" si="1"/>
        <v>3</v>
      </c>
      <c r="E18" s="52">
        <v>2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99122.222222222219</v>
      </c>
      <c r="D19" s="19">
        <f t="shared" si="1"/>
        <v>99122.222222222219</v>
      </c>
      <c r="E19" s="36">
        <f>E17*1000/12/E18</f>
        <v>99383.333333333328</v>
      </c>
    </row>
    <row r="20" spans="1:5" s="23" customFormat="1" ht="25.5">
      <c r="A20" s="26" t="s">
        <v>63</v>
      </c>
      <c r="B20" s="21" t="s">
        <v>2</v>
      </c>
      <c r="C20" s="36">
        <v>31035</v>
      </c>
      <c r="D20" s="19">
        <f t="shared" si="1"/>
        <v>31035</v>
      </c>
      <c r="E20" s="36">
        <v>26126.7</v>
      </c>
    </row>
    <row r="21" spans="1:5" s="23" customFormat="1">
      <c r="A21" s="27" t="s">
        <v>4</v>
      </c>
      <c r="B21" s="28" t="s">
        <v>3</v>
      </c>
      <c r="C21" s="52">
        <v>24.1</v>
      </c>
      <c r="D21" s="19">
        <f t="shared" si="1"/>
        <v>24.1</v>
      </c>
      <c r="E21" s="52">
        <v>19.7</v>
      </c>
    </row>
    <row r="22" spans="1:5" ht="21.95" customHeight="1">
      <c r="A22" s="10" t="s">
        <v>27</v>
      </c>
      <c r="B22" s="6" t="s">
        <v>28</v>
      </c>
      <c r="C22" s="36">
        <f>C20/12/C21*1000</f>
        <v>107313.27800829876</v>
      </c>
      <c r="D22" s="19">
        <f t="shared" si="1"/>
        <v>107313.27800829876</v>
      </c>
      <c r="E22" s="36">
        <f t="shared" ref="E22" si="2">E20/12/E21*1000</f>
        <v>110519.03553299492</v>
      </c>
    </row>
    <row r="23" spans="1:5" ht="39">
      <c r="A23" s="14" t="s">
        <v>26</v>
      </c>
      <c r="B23" s="6" t="s">
        <v>2</v>
      </c>
      <c r="C23" s="36">
        <v>2021.8</v>
      </c>
      <c r="D23" s="19">
        <f t="shared" si="1"/>
        <v>2021.8</v>
      </c>
      <c r="E23" s="36">
        <v>1745.4</v>
      </c>
    </row>
    <row r="24" spans="1:5">
      <c r="A24" s="10" t="s">
        <v>4</v>
      </c>
      <c r="B24" s="11" t="s">
        <v>3</v>
      </c>
      <c r="C24" s="52">
        <v>3</v>
      </c>
      <c r="D24" s="19">
        <f t="shared" si="1"/>
        <v>3</v>
      </c>
      <c r="E24" s="52">
        <v>2.5</v>
      </c>
    </row>
    <row r="25" spans="1:5" ht="21.95" customHeight="1">
      <c r="A25" s="10" t="s">
        <v>27</v>
      </c>
      <c r="B25" s="6" t="s">
        <v>28</v>
      </c>
      <c r="C25" s="36">
        <f>C23/C24/12*1000</f>
        <v>56161.111111111102</v>
      </c>
      <c r="D25" s="19">
        <f t="shared" si="1"/>
        <v>56161.111111111102</v>
      </c>
      <c r="E25" s="36">
        <f t="shared" ref="E25" si="3">E23/E24/12*1000</f>
        <v>58180.000000000007</v>
      </c>
    </row>
    <row r="26" spans="1:5" ht="25.5">
      <c r="A26" s="7" t="s">
        <v>24</v>
      </c>
      <c r="B26" s="6" t="s">
        <v>2</v>
      </c>
      <c r="C26" s="36">
        <v>8616.1</v>
      </c>
      <c r="D26" s="19">
        <f t="shared" si="1"/>
        <v>8616.1</v>
      </c>
      <c r="E26" s="36">
        <v>11653.5</v>
      </c>
    </row>
    <row r="27" spans="1:5">
      <c r="A27" s="10" t="s">
        <v>4</v>
      </c>
      <c r="B27" s="11" t="s">
        <v>3</v>
      </c>
      <c r="C27" s="52">
        <v>17.5</v>
      </c>
      <c r="D27" s="19">
        <f t="shared" si="1"/>
        <v>17.5</v>
      </c>
      <c r="E27" s="52">
        <v>18.75</v>
      </c>
    </row>
    <row r="28" spans="1:5" ht="21.95" customHeight="1">
      <c r="A28" s="10" t="s">
        <v>27</v>
      </c>
      <c r="B28" s="6" t="s">
        <v>28</v>
      </c>
      <c r="C28" s="36">
        <f>C26/12/C27*1000</f>
        <v>41029.047619047618</v>
      </c>
      <c r="D28" s="19">
        <f t="shared" si="1"/>
        <v>41029.047619047618</v>
      </c>
      <c r="E28" s="36">
        <f t="shared" ref="E28" si="4">E26/12/E27*1000</f>
        <v>51793.333333333336</v>
      </c>
    </row>
    <row r="29" spans="1:5" ht="25.5">
      <c r="A29" s="5" t="s">
        <v>5</v>
      </c>
      <c r="B29" s="6" t="s">
        <v>2</v>
      </c>
      <c r="C29" s="36">
        <v>3390.1</v>
      </c>
      <c r="D29" s="19">
        <f t="shared" si="1"/>
        <v>3390.1</v>
      </c>
      <c r="E29" s="36">
        <v>3890</v>
      </c>
    </row>
    <row r="30" spans="1:5" ht="36.75">
      <c r="A30" s="12" t="s">
        <v>6</v>
      </c>
      <c r="B30" s="6" t="s">
        <v>2</v>
      </c>
      <c r="C30" s="19">
        <v>2091.9</v>
      </c>
      <c r="D30" s="19">
        <f t="shared" si="1"/>
        <v>2091.9</v>
      </c>
      <c r="E30" s="19">
        <v>3791.8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0</v>
      </c>
    </row>
    <row r="33" spans="1:5" ht="38.25" customHeight="1">
      <c r="A33" s="12" t="s">
        <v>9</v>
      </c>
      <c r="B33" s="6" t="s">
        <v>2</v>
      </c>
      <c r="C33" s="19">
        <f>755.4+10006.4</f>
        <v>10761.8</v>
      </c>
      <c r="D33" s="19">
        <f t="shared" si="1"/>
        <v>10761.8</v>
      </c>
      <c r="E33" s="19">
        <v>15668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33"/>
  <sheetViews>
    <sheetView topLeftCell="A13" workbookViewId="0">
      <selection activeCell="E30" sqref="E30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67</v>
      </c>
      <c r="B2" s="43"/>
      <c r="C2" s="43"/>
      <c r="D2" s="43"/>
      <c r="E2" s="43"/>
    </row>
    <row r="3" spans="1:7">
      <c r="A3" s="1"/>
    </row>
    <row r="4" spans="1:7">
      <c r="A4" s="44" t="s">
        <v>57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14</v>
      </c>
      <c r="D11" s="19">
        <v>14</v>
      </c>
      <c r="E11" s="19">
        <v>14</v>
      </c>
    </row>
    <row r="12" spans="1:7" ht="25.5">
      <c r="A12" s="10" t="s">
        <v>25</v>
      </c>
      <c r="B12" s="6" t="s">
        <v>2</v>
      </c>
      <c r="C12" s="19">
        <f>(C13-C32)/C11</f>
        <v>517.12142857142851</v>
      </c>
      <c r="D12" s="19">
        <f t="shared" ref="D12:E12" si="0">(D13-D32)/D11</f>
        <v>517.12142857142851</v>
      </c>
      <c r="E12" s="19">
        <f t="shared" si="0"/>
        <v>722.03571428571445</v>
      </c>
    </row>
    <row r="13" spans="1:7" ht="25.5">
      <c r="A13" s="5" t="s">
        <v>11</v>
      </c>
      <c r="B13" s="6" t="s">
        <v>2</v>
      </c>
      <c r="C13" s="19">
        <v>7239.7</v>
      </c>
      <c r="D13" s="19">
        <f>C13</f>
        <v>7239.7</v>
      </c>
      <c r="E13" s="19">
        <f>E15+E29+E30+E31+E32+E33</f>
        <v>10108.500000000002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5748.1</v>
      </c>
      <c r="D15" s="19">
        <f t="shared" si="1"/>
        <v>5748.1</v>
      </c>
      <c r="E15" s="19">
        <f>E17+E20+E23+E26</f>
        <v>7880.1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36"/>
      <c r="D17" s="19">
        <f t="shared" si="1"/>
        <v>0</v>
      </c>
      <c r="E17" s="36"/>
    </row>
    <row r="18" spans="1:5" s="23" customFormat="1">
      <c r="A18" s="27" t="s">
        <v>4</v>
      </c>
      <c r="B18" s="28" t="s">
        <v>3</v>
      </c>
      <c r="C18" s="52"/>
      <c r="D18" s="19">
        <f t="shared" si="1"/>
        <v>0</v>
      </c>
      <c r="E18" s="52"/>
    </row>
    <row r="19" spans="1:5" s="23" customFormat="1" ht="21.95" customHeight="1">
      <c r="A19" s="27" t="s">
        <v>27</v>
      </c>
      <c r="B19" s="21" t="s">
        <v>28</v>
      </c>
      <c r="C19" s="36"/>
      <c r="D19" s="19">
        <f t="shared" si="1"/>
        <v>0</v>
      </c>
      <c r="E19" s="36"/>
    </row>
    <row r="20" spans="1:5" s="23" customFormat="1" ht="25.5">
      <c r="A20" s="26" t="s">
        <v>63</v>
      </c>
      <c r="B20" s="21" t="s">
        <v>2</v>
      </c>
      <c r="C20" s="36">
        <v>2108</v>
      </c>
      <c r="D20" s="19">
        <f t="shared" si="1"/>
        <v>2108</v>
      </c>
      <c r="E20" s="36">
        <v>6296</v>
      </c>
    </row>
    <row r="21" spans="1:5" s="23" customFormat="1">
      <c r="A21" s="27" t="s">
        <v>4</v>
      </c>
      <c r="B21" s="28" t="s">
        <v>3</v>
      </c>
      <c r="C21" s="52">
        <v>2.35</v>
      </c>
      <c r="D21" s="19">
        <f t="shared" si="1"/>
        <v>2.35</v>
      </c>
      <c r="E21" s="52">
        <v>5.0999999999999996</v>
      </c>
    </row>
    <row r="22" spans="1:5" s="23" customFormat="1" ht="21.95" customHeight="1">
      <c r="A22" s="27" t="s">
        <v>27</v>
      </c>
      <c r="B22" s="21" t="s">
        <v>28</v>
      </c>
      <c r="C22" s="36">
        <f>C20/12/C21*1000</f>
        <v>74751.773049645373</v>
      </c>
      <c r="D22" s="19">
        <f t="shared" si="1"/>
        <v>74751.773049645373</v>
      </c>
      <c r="E22" s="36">
        <f t="shared" ref="E22" si="2">E20/12/E21*1000</f>
        <v>102875.81699346406</v>
      </c>
    </row>
    <row r="23" spans="1:5" ht="39">
      <c r="A23" s="14" t="s">
        <v>26</v>
      </c>
      <c r="B23" s="6" t="s">
        <v>2</v>
      </c>
      <c r="C23" s="36">
        <v>169.5</v>
      </c>
      <c r="D23" s="19">
        <f t="shared" si="1"/>
        <v>169.5</v>
      </c>
      <c r="E23" s="36">
        <v>204.5</v>
      </c>
    </row>
    <row r="24" spans="1:5">
      <c r="A24" s="10" t="s">
        <v>4</v>
      </c>
      <c r="B24" s="11" t="s">
        <v>3</v>
      </c>
      <c r="C24" s="52">
        <v>0.25</v>
      </c>
      <c r="D24" s="19">
        <f t="shared" si="1"/>
        <v>0.25</v>
      </c>
      <c r="E24" s="52">
        <v>0.25</v>
      </c>
    </row>
    <row r="25" spans="1:5" ht="21.95" customHeight="1">
      <c r="A25" s="10" t="s">
        <v>27</v>
      </c>
      <c r="B25" s="6" t="s">
        <v>28</v>
      </c>
      <c r="C25" s="36">
        <f>C23/C24/12*1000</f>
        <v>56500</v>
      </c>
      <c r="D25" s="19">
        <f t="shared" si="1"/>
        <v>56500</v>
      </c>
      <c r="E25" s="36">
        <f t="shared" ref="E25" si="3">E23/E24/12*1000</f>
        <v>68166.666666666672</v>
      </c>
    </row>
    <row r="26" spans="1:5" ht="25.5">
      <c r="A26" s="7" t="s">
        <v>24</v>
      </c>
      <c r="B26" s="6" t="s">
        <v>2</v>
      </c>
      <c r="C26" s="36">
        <v>747.7</v>
      </c>
      <c r="D26" s="19">
        <f t="shared" si="1"/>
        <v>747.7</v>
      </c>
      <c r="E26" s="36">
        <v>1379.6</v>
      </c>
    </row>
    <row r="27" spans="1:5">
      <c r="A27" s="10" t="s">
        <v>4</v>
      </c>
      <c r="B27" s="11" t="s">
        <v>3</v>
      </c>
      <c r="C27" s="52">
        <v>1.5</v>
      </c>
      <c r="D27" s="19">
        <f t="shared" si="1"/>
        <v>1.5</v>
      </c>
      <c r="E27" s="52">
        <v>2.5499999999999998</v>
      </c>
    </row>
    <row r="28" spans="1:5" ht="21.95" customHeight="1">
      <c r="A28" s="10" t="s">
        <v>27</v>
      </c>
      <c r="B28" s="6" t="s">
        <v>28</v>
      </c>
      <c r="C28" s="36">
        <f>C26/12/C27*1000</f>
        <v>41538.888888888891</v>
      </c>
      <c r="D28" s="19">
        <f t="shared" si="1"/>
        <v>41538.888888888891</v>
      </c>
      <c r="E28" s="36">
        <f t="shared" ref="E28" si="4">E26/12/E27*1000</f>
        <v>45084.967320261436</v>
      </c>
    </row>
    <row r="29" spans="1:5" ht="25.5">
      <c r="A29" s="5" t="s">
        <v>5</v>
      </c>
      <c r="B29" s="6" t="s">
        <v>2</v>
      </c>
      <c r="C29" s="19">
        <v>723.7</v>
      </c>
      <c r="D29" s="19">
        <f t="shared" si="1"/>
        <v>723.7</v>
      </c>
      <c r="E29" s="19">
        <f>D29</f>
        <v>723.7</v>
      </c>
    </row>
    <row r="30" spans="1:5" ht="36.75">
      <c r="A30" s="12" t="s">
        <v>6</v>
      </c>
      <c r="B30" s="6" t="s">
        <v>2</v>
      </c>
      <c r="C30" s="19">
        <v>444.9</v>
      </c>
      <c r="D30" s="19">
        <f t="shared" si="1"/>
        <v>444.9</v>
      </c>
      <c r="E30" s="19">
        <v>458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0</v>
      </c>
    </row>
    <row r="33" spans="1:5" ht="38.25" customHeight="1">
      <c r="A33" s="12" t="s">
        <v>9</v>
      </c>
      <c r="B33" s="6" t="s">
        <v>2</v>
      </c>
      <c r="C33" s="19">
        <f>378.3+668.4</f>
        <v>1046.7</v>
      </c>
      <c r="D33" s="19">
        <f t="shared" si="1"/>
        <v>1046.7</v>
      </c>
      <c r="E33" s="19">
        <f>D33</f>
        <v>1046.7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33"/>
  <sheetViews>
    <sheetView topLeftCell="A10" workbookViewId="0">
      <selection activeCell="E33" sqref="E33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66</v>
      </c>
      <c r="B2" s="43"/>
      <c r="C2" s="43"/>
      <c r="D2" s="43"/>
      <c r="E2" s="43"/>
    </row>
    <row r="3" spans="1:7">
      <c r="A3" s="1"/>
    </row>
    <row r="4" spans="1:7">
      <c r="A4" s="44" t="s">
        <v>58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19">
        <v>129</v>
      </c>
      <c r="D11" s="19">
        <v>129</v>
      </c>
      <c r="E11" s="19">
        <v>129</v>
      </c>
    </row>
    <row r="12" spans="1:7" ht="25.5">
      <c r="A12" s="10" t="s">
        <v>25</v>
      </c>
      <c r="B12" s="6" t="s">
        <v>2</v>
      </c>
      <c r="C12" s="19">
        <f>(C13-C32)/C11</f>
        <v>479.3279069767442</v>
      </c>
      <c r="D12" s="19">
        <f t="shared" ref="D12:E12" si="0">(D13-D32)/D11</f>
        <v>479.3279069767442</v>
      </c>
      <c r="E12" s="19">
        <f t="shared" si="0"/>
        <v>534.37984496124045</v>
      </c>
    </row>
    <row r="13" spans="1:7" ht="25.5">
      <c r="A13" s="5" t="s">
        <v>11</v>
      </c>
      <c r="B13" s="6" t="s">
        <v>2</v>
      </c>
      <c r="C13" s="19">
        <v>61833.3</v>
      </c>
      <c r="D13" s="19">
        <f>C13</f>
        <v>61833.3</v>
      </c>
      <c r="E13" s="19">
        <f>E15+E29+E30+E31+E32+E33</f>
        <v>68956.800000000017</v>
      </c>
    </row>
    <row r="14" spans="1:7">
      <c r="A14" s="8" t="s">
        <v>0</v>
      </c>
      <c r="B14" s="9"/>
      <c r="C14" s="19"/>
      <c r="D14" s="19">
        <f t="shared" ref="D14:D33" si="1">C14</f>
        <v>0</v>
      </c>
      <c r="E14" s="19"/>
      <c r="G14" s="18"/>
    </row>
    <row r="15" spans="1:7" ht="25.5">
      <c r="A15" s="5" t="s">
        <v>12</v>
      </c>
      <c r="B15" s="6" t="s">
        <v>2</v>
      </c>
      <c r="C15" s="19">
        <v>44501.1</v>
      </c>
      <c r="D15" s="19">
        <f t="shared" si="1"/>
        <v>44501.1</v>
      </c>
      <c r="E15" s="19">
        <f>E17+E20+E23+E26</f>
        <v>45678.8</v>
      </c>
    </row>
    <row r="16" spans="1:7">
      <c r="A16" s="8" t="s">
        <v>1</v>
      </c>
      <c r="B16" s="9"/>
      <c r="C16" s="19"/>
      <c r="D16" s="19">
        <f t="shared" si="1"/>
        <v>0</v>
      </c>
      <c r="E16" s="19"/>
    </row>
    <row r="17" spans="1:5" s="23" customFormat="1" ht="25.5">
      <c r="A17" s="26" t="s">
        <v>62</v>
      </c>
      <c r="B17" s="21" t="s">
        <v>2</v>
      </c>
      <c r="C17" s="36">
        <v>3561.2</v>
      </c>
      <c r="D17" s="19">
        <f t="shared" si="1"/>
        <v>3561.2</v>
      </c>
      <c r="E17" s="36">
        <v>4274.6000000000004</v>
      </c>
    </row>
    <row r="18" spans="1:5" s="23" customFormat="1">
      <c r="A18" s="27" t="s">
        <v>4</v>
      </c>
      <c r="B18" s="28" t="s">
        <v>3</v>
      </c>
      <c r="C18" s="52">
        <v>3</v>
      </c>
      <c r="D18" s="19">
        <f t="shared" si="1"/>
        <v>3</v>
      </c>
      <c r="E18" s="52">
        <v>3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99122.222222222219</v>
      </c>
      <c r="D19" s="19">
        <f t="shared" si="1"/>
        <v>99122.222222222219</v>
      </c>
      <c r="E19" s="36">
        <f>E17*1000/12/E18</f>
        <v>118738.88888888889</v>
      </c>
    </row>
    <row r="20" spans="1:5" s="23" customFormat="1" ht="25.5">
      <c r="A20" s="26" t="s">
        <v>63</v>
      </c>
      <c r="B20" s="21" t="s">
        <v>2</v>
      </c>
      <c r="C20" s="36">
        <v>27087</v>
      </c>
      <c r="D20" s="19">
        <f t="shared" si="1"/>
        <v>27087</v>
      </c>
      <c r="E20" s="36">
        <v>27283.63</v>
      </c>
    </row>
    <row r="21" spans="1:5" s="23" customFormat="1">
      <c r="A21" s="27" t="s">
        <v>4</v>
      </c>
      <c r="B21" s="28" t="s">
        <v>3</v>
      </c>
      <c r="C21" s="52">
        <f>21.1+3.8</f>
        <v>24.900000000000002</v>
      </c>
      <c r="D21" s="19">
        <f t="shared" si="1"/>
        <v>24.900000000000002</v>
      </c>
      <c r="E21" s="52">
        <v>23.11</v>
      </c>
    </row>
    <row r="22" spans="1:5" ht="21.95" customHeight="1">
      <c r="A22" s="10" t="s">
        <v>27</v>
      </c>
      <c r="B22" s="6" t="s">
        <v>28</v>
      </c>
      <c r="C22" s="36">
        <f>C20/12/C21*1000</f>
        <v>90652.610441767072</v>
      </c>
      <c r="D22" s="19">
        <f t="shared" si="1"/>
        <v>90652.610441767072</v>
      </c>
      <c r="E22" s="36">
        <f t="shared" ref="E22" si="2">E20/12/E21*1000</f>
        <v>98383.203519399976</v>
      </c>
    </row>
    <row r="23" spans="1:5" ht="39">
      <c r="A23" s="14" t="s">
        <v>26</v>
      </c>
      <c r="B23" s="6" t="s">
        <v>2</v>
      </c>
      <c r="C23" s="36">
        <v>2021.8</v>
      </c>
      <c r="D23" s="19">
        <f t="shared" si="1"/>
        <v>2021.8</v>
      </c>
      <c r="E23" s="36">
        <v>3942.33</v>
      </c>
    </row>
    <row r="24" spans="1:5">
      <c r="A24" s="10" t="s">
        <v>4</v>
      </c>
      <c r="B24" s="11" t="s">
        <v>3</v>
      </c>
      <c r="C24" s="52">
        <v>3.5</v>
      </c>
      <c r="D24" s="19">
        <f t="shared" si="1"/>
        <v>3.5</v>
      </c>
      <c r="E24" s="52">
        <v>4</v>
      </c>
    </row>
    <row r="25" spans="1:5" ht="21.95" customHeight="1">
      <c r="A25" s="10" t="s">
        <v>27</v>
      </c>
      <c r="B25" s="6" t="s">
        <v>28</v>
      </c>
      <c r="C25" s="36">
        <f>C23/C24/12*1000</f>
        <v>48138.095238095237</v>
      </c>
      <c r="D25" s="19">
        <f t="shared" si="1"/>
        <v>48138.095238095237</v>
      </c>
      <c r="E25" s="36">
        <f t="shared" ref="E25" si="3">E23/E24/12*1000</f>
        <v>82131.875</v>
      </c>
    </row>
    <row r="26" spans="1:5" ht="25.5">
      <c r="A26" s="7" t="s">
        <v>24</v>
      </c>
      <c r="B26" s="6" t="s">
        <v>2</v>
      </c>
      <c r="C26" s="36">
        <v>8616.1</v>
      </c>
      <c r="D26" s="19">
        <f t="shared" si="1"/>
        <v>8616.1</v>
      </c>
      <c r="E26" s="36">
        <v>10178.24</v>
      </c>
    </row>
    <row r="27" spans="1:5">
      <c r="A27" s="10" t="s">
        <v>4</v>
      </c>
      <c r="B27" s="11" t="s">
        <v>3</v>
      </c>
      <c r="C27" s="52">
        <v>17.5</v>
      </c>
      <c r="D27" s="19">
        <f t="shared" si="1"/>
        <v>17.5</v>
      </c>
      <c r="E27" s="52">
        <v>19.88</v>
      </c>
    </row>
    <row r="28" spans="1:5" ht="21.95" customHeight="1">
      <c r="A28" s="10" t="s">
        <v>27</v>
      </c>
      <c r="B28" s="6" t="s">
        <v>28</v>
      </c>
      <c r="C28" s="36">
        <f>C26/12/C27*1000</f>
        <v>41029.047619047618</v>
      </c>
      <c r="D28" s="19">
        <f t="shared" si="1"/>
        <v>41029.047619047618</v>
      </c>
      <c r="E28" s="36">
        <f t="shared" ref="E28" si="4">E26/12/E27*1000</f>
        <v>42665.325285043597</v>
      </c>
    </row>
    <row r="29" spans="1:5" ht="25.5">
      <c r="A29" s="5" t="s">
        <v>5</v>
      </c>
      <c r="B29" s="6" t="s">
        <v>2</v>
      </c>
      <c r="C29" s="19">
        <v>3215</v>
      </c>
      <c r="D29" s="19">
        <f t="shared" si="1"/>
        <v>3215</v>
      </c>
      <c r="E29" s="19">
        <v>4215</v>
      </c>
    </row>
    <row r="30" spans="1:5" ht="36.75">
      <c r="A30" s="12" t="s">
        <v>6</v>
      </c>
      <c r="B30" s="6" t="s">
        <v>2</v>
      </c>
      <c r="C30" s="19">
        <v>2111.3000000000002</v>
      </c>
      <c r="D30" s="19">
        <f t="shared" si="1"/>
        <v>2111.3000000000002</v>
      </c>
      <c r="E30" s="19">
        <v>3820.3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21.8</v>
      </c>
    </row>
    <row r="33" spans="1:5" ht="38.25" customHeight="1">
      <c r="A33" s="12" t="s">
        <v>9</v>
      </c>
      <c r="B33" s="6" t="s">
        <v>2</v>
      </c>
      <c r="C33" s="19">
        <f>696.7+14524.2</f>
        <v>15220.900000000001</v>
      </c>
      <c r="D33" s="19">
        <f t="shared" si="1"/>
        <v>15220.900000000001</v>
      </c>
      <c r="E33" s="19">
        <f>D33</f>
        <v>15220.900000000001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topLeftCell="A17" workbookViewId="0">
      <selection activeCell="G32" sqref="G32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68</v>
      </c>
      <c r="B2" s="43"/>
      <c r="C2" s="43"/>
      <c r="D2" s="43"/>
      <c r="E2" s="43"/>
    </row>
    <row r="3" spans="1:7">
      <c r="A3" s="1"/>
    </row>
    <row r="4" spans="1:7">
      <c r="A4" s="44" t="s">
        <v>32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1034</v>
      </c>
      <c r="D11" s="36">
        <v>1034</v>
      </c>
      <c r="E11" s="36">
        <v>1034</v>
      </c>
    </row>
    <row r="12" spans="1:7" ht="25.5">
      <c r="A12" s="10" t="s">
        <v>25</v>
      </c>
      <c r="B12" s="6" t="s">
        <v>2</v>
      </c>
      <c r="C12" s="19">
        <f>(C13-C32)/C11</f>
        <v>131.08384912959383</v>
      </c>
      <c r="D12" s="19">
        <f t="shared" ref="D12:E12" si="0">(D13-D32)/D11</f>
        <v>131.08384912959383</v>
      </c>
      <c r="E12" s="19">
        <f t="shared" si="0"/>
        <v>167.05328820116054</v>
      </c>
    </row>
    <row r="13" spans="1:7" ht="25.5">
      <c r="A13" s="5" t="s">
        <v>11</v>
      </c>
      <c r="B13" s="6" t="s">
        <v>2</v>
      </c>
      <c r="C13" s="19">
        <v>135609.70000000001</v>
      </c>
      <c r="D13" s="19">
        <f>C13</f>
        <v>135609.70000000001</v>
      </c>
      <c r="E13" s="19">
        <f>E15+E29+E30+E31+E32+E33</f>
        <v>172830.1</v>
      </c>
    </row>
    <row r="14" spans="1:7">
      <c r="A14" s="8" t="s">
        <v>0</v>
      </c>
      <c r="B14" s="9"/>
      <c r="C14" s="19">
        <v>0</v>
      </c>
      <c r="D14" s="19">
        <f t="shared" ref="D14:D33" si="1">C14</f>
        <v>0</v>
      </c>
      <c r="E14" s="19">
        <v>0</v>
      </c>
      <c r="G14" s="18"/>
    </row>
    <row r="15" spans="1:7" ht="25.5">
      <c r="A15" s="5" t="s">
        <v>12</v>
      </c>
      <c r="B15" s="6" t="s">
        <v>2</v>
      </c>
      <c r="C15" s="19">
        <v>116251.2</v>
      </c>
      <c r="D15" s="19">
        <f t="shared" si="1"/>
        <v>116251.2</v>
      </c>
      <c r="E15" s="19">
        <f>E17+E20+E23+E26</f>
        <v>118982.5</v>
      </c>
    </row>
    <row r="16" spans="1:7">
      <c r="A16" s="8" t="s">
        <v>1</v>
      </c>
      <c r="B16" s="9"/>
      <c r="C16" s="19">
        <v>0</v>
      </c>
      <c r="D16" s="19">
        <f t="shared" si="1"/>
        <v>0</v>
      </c>
      <c r="E16" s="19">
        <v>0</v>
      </c>
    </row>
    <row r="17" spans="1:5" s="23" customFormat="1" ht="25.5">
      <c r="A17" s="26" t="s">
        <v>62</v>
      </c>
      <c r="B17" s="21" t="s">
        <v>2</v>
      </c>
      <c r="C17" s="36">
        <f>(99.986+483.552)*12</f>
        <v>7002.4560000000001</v>
      </c>
      <c r="D17" s="19">
        <f t="shared" si="1"/>
        <v>7002.4560000000001</v>
      </c>
      <c r="E17" s="36">
        <v>7145.8</v>
      </c>
    </row>
    <row r="18" spans="1:5" s="23" customFormat="1">
      <c r="A18" s="27" t="s">
        <v>4</v>
      </c>
      <c r="B18" s="28" t="s">
        <v>3</v>
      </c>
      <c r="C18" s="52">
        <v>6</v>
      </c>
      <c r="D18" s="19">
        <f t="shared" si="1"/>
        <v>6</v>
      </c>
      <c r="E18" s="52">
        <v>6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97456.333333333328</v>
      </c>
      <c r="D19" s="19">
        <f t="shared" si="1"/>
        <v>97456.333333333328</v>
      </c>
      <c r="E19" s="36">
        <f>E17*1000/12/E18</f>
        <v>99247.222222222234</v>
      </c>
    </row>
    <row r="20" spans="1:5" s="23" customFormat="1" ht="25.5">
      <c r="A20" s="26" t="s">
        <v>63</v>
      </c>
      <c r="B20" s="21" t="s">
        <v>2</v>
      </c>
      <c r="C20" s="36">
        <f>17697*3.85*12/1000*C21+2583.3+11679.5</f>
        <v>77586.028429999991</v>
      </c>
      <c r="D20" s="19">
        <f t="shared" si="1"/>
        <v>77586.028429999991</v>
      </c>
      <c r="E20" s="36">
        <v>88779.3</v>
      </c>
    </row>
    <row r="21" spans="1:5" s="23" customFormat="1">
      <c r="A21" s="27" t="s">
        <v>4</v>
      </c>
      <c r="B21" s="28" t="s">
        <v>3</v>
      </c>
      <c r="C21" s="52">
        <f>71.2+6.25</f>
        <v>77.45</v>
      </c>
      <c r="D21" s="19">
        <f t="shared" si="1"/>
        <v>77.45</v>
      </c>
      <c r="E21" s="52">
        <v>85.3</v>
      </c>
    </row>
    <row r="22" spans="1:5" ht="21.95" customHeight="1">
      <c r="A22" s="10" t="s">
        <v>27</v>
      </c>
      <c r="B22" s="6" t="s">
        <v>28</v>
      </c>
      <c r="C22" s="36">
        <f>C20/12/C21*1000</f>
        <v>83479.694889175793</v>
      </c>
      <c r="D22" s="19">
        <f t="shared" si="1"/>
        <v>83479.694889175793</v>
      </c>
      <c r="E22" s="36">
        <f t="shared" ref="E22" si="2">E20/12/E21*1000</f>
        <v>86732.415005861665</v>
      </c>
    </row>
    <row r="23" spans="1:5" ht="39">
      <c r="A23" s="14" t="s">
        <v>26</v>
      </c>
      <c r="B23" s="6" t="s">
        <v>2</v>
      </c>
      <c r="C23" s="36">
        <v>7945.5</v>
      </c>
      <c r="D23" s="19">
        <f t="shared" si="1"/>
        <v>7945.5</v>
      </c>
      <c r="E23" s="36">
        <v>6428.4</v>
      </c>
    </row>
    <row r="24" spans="1:5">
      <c r="A24" s="10" t="s">
        <v>4</v>
      </c>
      <c r="B24" s="11" t="s">
        <v>3</v>
      </c>
      <c r="C24" s="52">
        <v>7.5</v>
      </c>
      <c r="D24" s="19">
        <f t="shared" si="1"/>
        <v>7.5</v>
      </c>
      <c r="E24" s="52">
        <v>6</v>
      </c>
    </row>
    <row r="25" spans="1:5" ht="21.95" customHeight="1">
      <c r="A25" s="10" t="s">
        <v>27</v>
      </c>
      <c r="B25" s="6" t="s">
        <v>28</v>
      </c>
      <c r="C25" s="36">
        <f>C23/C24/12*1000</f>
        <v>88283.333333333343</v>
      </c>
      <c r="D25" s="19">
        <f t="shared" si="1"/>
        <v>88283.333333333343</v>
      </c>
      <c r="E25" s="36">
        <f t="shared" ref="E25" si="3">E23/E24/12*1000</f>
        <v>89283.333333333314</v>
      </c>
    </row>
    <row r="26" spans="1:5" ht="25.5">
      <c r="A26" s="7" t="s">
        <v>24</v>
      </c>
      <c r="B26" s="6" t="s">
        <v>2</v>
      </c>
      <c r="C26" s="36">
        <v>12289.6</v>
      </c>
      <c r="D26" s="19">
        <f t="shared" si="1"/>
        <v>12289.6</v>
      </c>
      <c r="E26" s="36">
        <v>16629</v>
      </c>
    </row>
    <row r="27" spans="1:5">
      <c r="A27" s="10" t="s">
        <v>4</v>
      </c>
      <c r="B27" s="11" t="s">
        <v>3</v>
      </c>
      <c r="C27" s="52">
        <v>21.25</v>
      </c>
      <c r="D27" s="19">
        <f t="shared" si="1"/>
        <v>21.25</v>
      </c>
      <c r="E27" s="52">
        <v>29.25</v>
      </c>
    </row>
    <row r="28" spans="1:5" ht="21.95" customHeight="1">
      <c r="A28" s="10" t="s">
        <v>27</v>
      </c>
      <c r="B28" s="6" t="s">
        <v>28</v>
      </c>
      <c r="C28" s="36">
        <f>C26/12/C27*1000</f>
        <v>48194.509803921574</v>
      </c>
      <c r="D28" s="19">
        <f t="shared" si="1"/>
        <v>48194.509803921574</v>
      </c>
      <c r="E28" s="36">
        <f t="shared" ref="E28" si="4">E26/12/E27*1000</f>
        <v>47376.068376068375</v>
      </c>
    </row>
    <row r="29" spans="1:5" ht="25.5">
      <c r="A29" s="5" t="s">
        <v>5</v>
      </c>
      <c r="B29" s="6" t="s">
        <v>2</v>
      </c>
      <c r="C29" s="19">
        <v>11427.6</v>
      </c>
      <c r="D29" s="19">
        <f t="shared" si="1"/>
        <v>11427.6</v>
      </c>
      <c r="E29" s="19">
        <v>13028</v>
      </c>
    </row>
    <row r="30" spans="1:5" ht="36.75">
      <c r="A30" s="12" t="s">
        <v>6</v>
      </c>
      <c r="B30" s="6" t="s">
        <v>2</v>
      </c>
      <c r="C30" s="19">
        <v>8109.2</v>
      </c>
      <c r="D30" s="19">
        <f t="shared" si="1"/>
        <v>8109.2</v>
      </c>
      <c r="E30" s="19">
        <v>11142.6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69</v>
      </c>
      <c r="D32" s="19">
        <f t="shared" si="1"/>
        <v>69</v>
      </c>
      <c r="E32" s="19">
        <v>97</v>
      </c>
    </row>
    <row r="33" spans="1:5" ht="38.25" customHeight="1">
      <c r="A33" s="12" t="s">
        <v>9</v>
      </c>
      <c r="B33" s="6" t="s">
        <v>2</v>
      </c>
      <c r="C33" s="19">
        <f>6156.9+5023.4</f>
        <v>11180.3</v>
      </c>
      <c r="D33" s="19">
        <f t="shared" si="1"/>
        <v>11180.3</v>
      </c>
      <c r="E33" s="19">
        <v>29580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3"/>
  <sheetViews>
    <sheetView topLeftCell="A18" workbookViewId="0">
      <selection activeCell="F32" sqref="F32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8" customWidth="1"/>
    <col min="5" max="5" width="12" style="53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68</v>
      </c>
      <c r="B2" s="43"/>
      <c r="C2" s="43"/>
      <c r="D2" s="43"/>
      <c r="E2" s="43"/>
    </row>
    <row r="3" spans="1:7">
      <c r="A3" s="1"/>
    </row>
    <row r="4" spans="1:7">
      <c r="A4" s="44" t="s">
        <v>33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252</v>
      </c>
      <c r="D11" s="36">
        <v>252</v>
      </c>
      <c r="E11" s="36">
        <v>252</v>
      </c>
    </row>
    <row r="12" spans="1:7" ht="25.5">
      <c r="A12" s="10" t="s">
        <v>25</v>
      </c>
      <c r="B12" s="6" t="s">
        <v>2</v>
      </c>
      <c r="C12" s="19">
        <f>(C13-C32)/C11</f>
        <v>330.41071428571428</v>
      </c>
      <c r="D12" s="19">
        <f t="shared" ref="D12:E12" si="0">(D13-D32)/D11</f>
        <v>330.41071428571428</v>
      </c>
      <c r="E12" s="19">
        <f t="shared" si="0"/>
        <v>379.3642857142857</v>
      </c>
    </row>
    <row r="13" spans="1:7" ht="25.5">
      <c r="A13" s="5" t="s">
        <v>11</v>
      </c>
      <c r="B13" s="6" t="s">
        <v>2</v>
      </c>
      <c r="C13" s="19">
        <v>84982</v>
      </c>
      <c r="D13" s="19">
        <f>C13</f>
        <v>84982</v>
      </c>
      <c r="E13" s="19">
        <f>E15+E29+E30+E31+E32+E33</f>
        <v>97318.3</v>
      </c>
    </row>
    <row r="14" spans="1:7">
      <c r="A14" s="8" t="s">
        <v>0</v>
      </c>
      <c r="B14" s="9"/>
      <c r="C14" s="19">
        <v>0</v>
      </c>
      <c r="D14" s="19">
        <f t="shared" ref="D14:D33" si="1">C14</f>
        <v>0</v>
      </c>
      <c r="E14" s="19">
        <v>0</v>
      </c>
      <c r="G14" s="18"/>
    </row>
    <row r="15" spans="1:7" ht="25.5">
      <c r="A15" s="5" t="s">
        <v>12</v>
      </c>
      <c r="B15" s="6" t="s">
        <v>2</v>
      </c>
      <c r="C15" s="19">
        <v>69253.3</v>
      </c>
      <c r="D15" s="19">
        <f t="shared" si="1"/>
        <v>69253.3</v>
      </c>
      <c r="E15" s="19">
        <f>E17+E20+E23+E26</f>
        <v>64833.7</v>
      </c>
    </row>
    <row r="16" spans="1:7">
      <c r="A16" s="8" t="s">
        <v>1</v>
      </c>
      <c r="B16" s="9"/>
      <c r="C16" s="19">
        <v>0</v>
      </c>
      <c r="D16" s="19">
        <f t="shared" si="1"/>
        <v>0</v>
      </c>
      <c r="E16" s="19">
        <v>0</v>
      </c>
    </row>
    <row r="17" spans="1:7" s="23" customFormat="1" ht="25.5">
      <c r="A17" s="26" t="s">
        <v>62</v>
      </c>
      <c r="B17" s="21" t="s">
        <v>2</v>
      </c>
      <c r="C17" s="36">
        <f>296.8*12</f>
        <v>3561.6000000000004</v>
      </c>
      <c r="D17" s="19">
        <f t="shared" si="1"/>
        <v>3561.6000000000004</v>
      </c>
      <c r="E17" s="36">
        <v>3793.7</v>
      </c>
    </row>
    <row r="18" spans="1:7" s="23" customFormat="1">
      <c r="A18" s="27" t="s">
        <v>4</v>
      </c>
      <c r="B18" s="28" t="s">
        <v>3</v>
      </c>
      <c r="C18" s="52">
        <v>3</v>
      </c>
      <c r="D18" s="19">
        <f t="shared" si="1"/>
        <v>3</v>
      </c>
      <c r="E18" s="36">
        <v>3</v>
      </c>
    </row>
    <row r="19" spans="1:7" s="23" customFormat="1" ht="21.95" customHeight="1">
      <c r="A19" s="27" t="s">
        <v>27</v>
      </c>
      <c r="B19" s="21" t="s">
        <v>28</v>
      </c>
      <c r="C19" s="36">
        <f>C17/C18/12*1000+200</f>
        <v>99133.333333333343</v>
      </c>
      <c r="D19" s="19">
        <f t="shared" si="1"/>
        <v>99133.333333333343</v>
      </c>
      <c r="E19" s="36">
        <f>D19</f>
        <v>99133.333333333343</v>
      </c>
      <c r="G19" s="31"/>
    </row>
    <row r="20" spans="1:7" s="23" customFormat="1" ht="25.5">
      <c r="A20" s="26" t="s">
        <v>63</v>
      </c>
      <c r="B20" s="21" t="s">
        <v>2</v>
      </c>
      <c r="C20" s="36">
        <f>17697*3.85*12/1000*C21+2583.3+11679.5</f>
        <v>37482.679759999999</v>
      </c>
      <c r="D20" s="19">
        <f t="shared" si="1"/>
        <v>37482.679759999999</v>
      </c>
      <c r="E20" s="36">
        <v>38576.199999999997</v>
      </c>
    </row>
    <row r="21" spans="1:7" s="23" customFormat="1">
      <c r="A21" s="27" t="s">
        <v>4</v>
      </c>
      <c r="B21" s="28" t="s">
        <v>3</v>
      </c>
      <c r="C21" s="52">
        <f>25.7+2.7</f>
        <v>28.4</v>
      </c>
      <c r="D21" s="19">
        <f t="shared" si="1"/>
        <v>28.4</v>
      </c>
      <c r="E21" s="36">
        <v>29.25</v>
      </c>
    </row>
    <row r="22" spans="1:7" ht="21.95" customHeight="1">
      <c r="A22" s="10" t="s">
        <v>27</v>
      </c>
      <c r="B22" s="6" t="s">
        <v>28</v>
      </c>
      <c r="C22" s="36">
        <f>C20/12/C21*1000</f>
        <v>109984.38896713614</v>
      </c>
      <c r="D22" s="19">
        <f t="shared" si="1"/>
        <v>109984.38896713614</v>
      </c>
      <c r="E22" s="36">
        <f t="shared" ref="E22" si="2">E20/12/E21*1000</f>
        <v>109903.70370370368</v>
      </c>
    </row>
    <row r="23" spans="1:7" ht="39">
      <c r="A23" s="14" t="s">
        <v>26</v>
      </c>
      <c r="B23" s="6" t="s">
        <v>2</v>
      </c>
      <c r="C23" s="36">
        <v>7715.6</v>
      </c>
      <c r="D23" s="19">
        <f t="shared" si="1"/>
        <v>7715.6</v>
      </c>
      <c r="E23" s="36">
        <v>6156.4</v>
      </c>
    </row>
    <row r="24" spans="1:7">
      <c r="A24" s="10" t="s">
        <v>4</v>
      </c>
      <c r="B24" s="11" t="s">
        <v>3</v>
      </c>
      <c r="C24" s="52">
        <v>7</v>
      </c>
      <c r="D24" s="19">
        <f t="shared" si="1"/>
        <v>7</v>
      </c>
      <c r="E24" s="36">
        <v>6</v>
      </c>
    </row>
    <row r="25" spans="1:7" ht="21.95" customHeight="1">
      <c r="A25" s="10" t="s">
        <v>27</v>
      </c>
      <c r="B25" s="6" t="s">
        <v>28</v>
      </c>
      <c r="C25" s="36">
        <f>C23/C24/12*1000</f>
        <v>91852.380952380961</v>
      </c>
      <c r="D25" s="19">
        <f t="shared" si="1"/>
        <v>91852.380952380961</v>
      </c>
      <c r="E25" s="36">
        <f t="shared" ref="E25" si="3">E23/E24/12*1000</f>
        <v>85505.555555555547</v>
      </c>
    </row>
    <row r="26" spans="1:7" ht="25.5">
      <c r="A26" s="7" t="s">
        <v>24</v>
      </c>
      <c r="B26" s="6" t="s">
        <v>2</v>
      </c>
      <c r="C26" s="36">
        <v>12289.6</v>
      </c>
      <c r="D26" s="19">
        <f t="shared" si="1"/>
        <v>12289.6</v>
      </c>
      <c r="E26" s="36">
        <v>16307.4</v>
      </c>
    </row>
    <row r="27" spans="1:7">
      <c r="A27" s="10" t="s">
        <v>4</v>
      </c>
      <c r="B27" s="11" t="s">
        <v>3</v>
      </c>
      <c r="C27" s="52">
        <v>18.25</v>
      </c>
      <c r="D27" s="19">
        <f t="shared" si="1"/>
        <v>18.25</v>
      </c>
      <c r="E27" s="36">
        <v>22.9</v>
      </c>
    </row>
    <row r="28" spans="1:7" ht="21.95" customHeight="1">
      <c r="A28" s="10" t="s">
        <v>27</v>
      </c>
      <c r="B28" s="6" t="s">
        <v>28</v>
      </c>
      <c r="C28" s="36">
        <f>C26/12/C27*1000</f>
        <v>56116.894977168951</v>
      </c>
      <c r="D28" s="19">
        <f t="shared" si="1"/>
        <v>56116.894977168951</v>
      </c>
      <c r="E28" s="36">
        <f t="shared" ref="E28" si="4">E26/12/E27*1000</f>
        <v>59342.79475982533</v>
      </c>
    </row>
    <row r="29" spans="1:7" ht="25.5">
      <c r="A29" s="5" t="s">
        <v>5</v>
      </c>
      <c r="B29" s="6" t="s">
        <v>2</v>
      </c>
      <c r="C29" s="36">
        <v>6139.3</v>
      </c>
      <c r="D29" s="19">
        <f t="shared" si="1"/>
        <v>6139.3</v>
      </c>
      <c r="E29" s="36">
        <v>7739</v>
      </c>
    </row>
    <row r="30" spans="1:7" ht="36.75">
      <c r="A30" s="12" t="s">
        <v>6</v>
      </c>
      <c r="B30" s="6" t="s">
        <v>2</v>
      </c>
      <c r="C30" s="36">
        <v>6882.7</v>
      </c>
      <c r="D30" s="19">
        <f t="shared" si="1"/>
        <v>6882.7</v>
      </c>
      <c r="E30" s="36">
        <v>7777.1</v>
      </c>
    </row>
    <row r="31" spans="1:7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7" ht="36.75">
      <c r="A32" s="12" t="s">
        <v>8</v>
      </c>
      <c r="B32" s="6" t="s">
        <v>2</v>
      </c>
      <c r="C32" s="19">
        <v>1718.5</v>
      </c>
      <c r="D32" s="19">
        <f t="shared" si="1"/>
        <v>1718.5</v>
      </c>
      <c r="E32" s="19">
        <f>D32</f>
        <v>1718.5</v>
      </c>
    </row>
    <row r="33" spans="1:5" ht="38.25" customHeight="1">
      <c r="A33" s="12" t="s">
        <v>9</v>
      </c>
      <c r="B33" s="6" t="s">
        <v>2</v>
      </c>
      <c r="C33" s="19">
        <f>5136.3+1991.3</f>
        <v>7127.6</v>
      </c>
      <c r="D33" s="19">
        <f t="shared" si="1"/>
        <v>7127.6</v>
      </c>
      <c r="E33" s="19">
        <v>15250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F17" sqref="F17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68</v>
      </c>
      <c r="B2" s="43"/>
      <c r="C2" s="43"/>
      <c r="D2" s="43"/>
      <c r="E2" s="43"/>
    </row>
    <row r="3" spans="1:7">
      <c r="A3" s="1"/>
    </row>
    <row r="4" spans="1:7">
      <c r="A4" s="44" t="s">
        <v>34</v>
      </c>
      <c r="B4" s="44"/>
      <c r="C4" s="44"/>
      <c r="D4" s="44"/>
      <c r="E4" s="44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511</v>
      </c>
      <c r="D11" s="36">
        <v>511</v>
      </c>
      <c r="E11" s="36">
        <v>511</v>
      </c>
    </row>
    <row r="12" spans="1:7" ht="25.5">
      <c r="A12" s="10" t="s">
        <v>25</v>
      </c>
      <c r="B12" s="6" t="s">
        <v>2</v>
      </c>
      <c r="C12" s="19">
        <f>(C13-C32)/C11</f>
        <v>174.83150684931505</v>
      </c>
      <c r="D12" s="19">
        <f t="shared" ref="D12:E12" si="0">(D13-D32)/D11</f>
        <v>174.83150684931505</v>
      </c>
      <c r="E12" s="19">
        <f t="shared" si="0"/>
        <v>187.15949119373775</v>
      </c>
    </row>
    <row r="13" spans="1:7" ht="25.5">
      <c r="A13" s="5" t="s">
        <v>11</v>
      </c>
      <c r="B13" s="6" t="s">
        <v>2</v>
      </c>
      <c r="C13" s="19">
        <v>91057.4</v>
      </c>
      <c r="D13" s="19">
        <f>C13</f>
        <v>91057.4</v>
      </c>
      <c r="E13" s="19">
        <f>E15+E29+E30+E31+E32+E33</f>
        <v>97356.999999999985</v>
      </c>
    </row>
    <row r="14" spans="1:7">
      <c r="A14" s="8" t="s">
        <v>0</v>
      </c>
      <c r="B14" s="9"/>
      <c r="C14" s="19">
        <v>0</v>
      </c>
      <c r="D14" s="19">
        <f t="shared" ref="D14:D33" si="1">C14</f>
        <v>0</v>
      </c>
      <c r="E14" s="19">
        <v>0</v>
      </c>
      <c r="G14" s="18"/>
    </row>
    <row r="15" spans="1:7" ht="25.5">
      <c r="A15" s="5" t="s">
        <v>12</v>
      </c>
      <c r="B15" s="6" t="s">
        <v>2</v>
      </c>
      <c r="C15" s="19">
        <v>79120.5</v>
      </c>
      <c r="D15" s="19">
        <f t="shared" si="1"/>
        <v>79120.5</v>
      </c>
      <c r="E15" s="19">
        <f>E17+E20+E23+E26</f>
        <v>70680.299999999988</v>
      </c>
    </row>
    <row r="16" spans="1:7">
      <c r="A16" s="8" t="s">
        <v>1</v>
      </c>
      <c r="B16" s="9"/>
      <c r="C16" s="19">
        <v>0</v>
      </c>
      <c r="D16" s="19">
        <f t="shared" si="1"/>
        <v>0</v>
      </c>
      <c r="E16" s="19">
        <v>0</v>
      </c>
    </row>
    <row r="17" spans="1:5" s="23" customFormat="1" ht="25.5">
      <c r="A17" s="26" t="s">
        <v>62</v>
      </c>
      <c r="B17" s="21" t="s">
        <v>2</v>
      </c>
      <c r="C17" s="36">
        <f>496.8*12</f>
        <v>5961.6</v>
      </c>
      <c r="D17" s="19">
        <f t="shared" si="1"/>
        <v>5961.6</v>
      </c>
      <c r="E17" s="36">
        <v>5987.2</v>
      </c>
    </row>
    <row r="18" spans="1:5" s="23" customFormat="1">
      <c r="A18" s="27" t="s">
        <v>4</v>
      </c>
      <c r="B18" s="28" t="s">
        <v>3</v>
      </c>
      <c r="C18" s="52">
        <v>5</v>
      </c>
      <c r="D18" s="19">
        <f t="shared" si="1"/>
        <v>5</v>
      </c>
      <c r="E18" s="52">
        <v>5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99560.000000000015</v>
      </c>
      <c r="D19" s="19">
        <f t="shared" si="1"/>
        <v>99560.000000000015</v>
      </c>
      <c r="E19" s="36">
        <f>E17*1000/12/E18</f>
        <v>99786.666666666657</v>
      </c>
    </row>
    <row r="20" spans="1:5" s="23" customFormat="1" ht="25.5">
      <c r="A20" s="26" t="s">
        <v>63</v>
      </c>
      <c r="B20" s="21" t="s">
        <v>2</v>
      </c>
      <c r="C20" s="36">
        <f>17697*3.85*12/1000*C21+2583.3+11679.5-3065</f>
        <v>45283.602365999999</v>
      </c>
      <c r="D20" s="19">
        <f t="shared" si="1"/>
        <v>45283.602365999999</v>
      </c>
      <c r="E20" s="36">
        <v>48597.7</v>
      </c>
    </row>
    <row r="21" spans="1:5" s="23" customFormat="1">
      <c r="A21" s="27" t="s">
        <v>4</v>
      </c>
      <c r="B21" s="28" t="s">
        <v>3</v>
      </c>
      <c r="C21" s="52">
        <f>39.2+2.29+0.2</f>
        <v>41.690000000000005</v>
      </c>
      <c r="D21" s="19">
        <f t="shared" si="1"/>
        <v>41.690000000000005</v>
      </c>
      <c r="E21" s="52">
        <v>42.2</v>
      </c>
    </row>
    <row r="22" spans="1:5" s="23" customFormat="1" ht="21.95" customHeight="1">
      <c r="A22" s="27" t="s">
        <v>27</v>
      </c>
      <c r="B22" s="21" t="s">
        <v>28</v>
      </c>
      <c r="C22" s="36">
        <f>C20/12/C21*1000</f>
        <v>90516.51548332932</v>
      </c>
      <c r="D22" s="19">
        <f t="shared" si="1"/>
        <v>90516.51548332932</v>
      </c>
      <c r="E22" s="36">
        <f t="shared" ref="E22" si="2">E20/12/E21*1000</f>
        <v>95967.022116903623</v>
      </c>
    </row>
    <row r="23" spans="1:5" s="23" customFormat="1" ht="39">
      <c r="A23" s="29" t="s">
        <v>26</v>
      </c>
      <c r="B23" s="21" t="s">
        <v>2</v>
      </c>
      <c r="C23" s="36">
        <v>8215.6</v>
      </c>
      <c r="D23" s="19">
        <f t="shared" si="1"/>
        <v>8215.6</v>
      </c>
      <c r="E23" s="36">
        <v>7031.1</v>
      </c>
    </row>
    <row r="24" spans="1:5" s="23" customFormat="1">
      <c r="A24" s="27" t="s">
        <v>4</v>
      </c>
      <c r="B24" s="28" t="s">
        <v>3</v>
      </c>
      <c r="C24" s="52">
        <v>7.5</v>
      </c>
      <c r="D24" s="19">
        <f t="shared" si="1"/>
        <v>7.5</v>
      </c>
      <c r="E24" s="52">
        <v>6</v>
      </c>
    </row>
    <row r="25" spans="1:5" s="23" customFormat="1" ht="21.95" customHeight="1">
      <c r="A25" s="27" t="s">
        <v>27</v>
      </c>
      <c r="B25" s="21" t="s">
        <v>28</v>
      </c>
      <c r="C25" s="36">
        <f>C23/C24/12*1000</f>
        <v>91284.444444444453</v>
      </c>
      <c r="D25" s="19">
        <f t="shared" si="1"/>
        <v>91284.444444444453</v>
      </c>
      <c r="E25" s="36">
        <f t="shared" ref="E25" si="3">E23/E24/12*1000</f>
        <v>97654.166666666686</v>
      </c>
    </row>
    <row r="26" spans="1:5" ht="25.5">
      <c r="A26" s="7" t="s">
        <v>24</v>
      </c>
      <c r="B26" s="6" t="s">
        <v>2</v>
      </c>
      <c r="C26" s="36">
        <v>12389.6</v>
      </c>
      <c r="D26" s="19">
        <f t="shared" si="1"/>
        <v>12389.6</v>
      </c>
      <c r="E26" s="36">
        <v>9064.2999999999993</v>
      </c>
    </row>
    <row r="27" spans="1:5">
      <c r="A27" s="10" t="s">
        <v>4</v>
      </c>
      <c r="B27" s="11" t="s">
        <v>3</v>
      </c>
      <c r="C27" s="52">
        <v>18.25</v>
      </c>
      <c r="D27" s="19">
        <f t="shared" si="1"/>
        <v>18.25</v>
      </c>
      <c r="E27" s="52">
        <v>18.25</v>
      </c>
    </row>
    <row r="28" spans="1:5" ht="21.95" customHeight="1">
      <c r="A28" s="10" t="s">
        <v>27</v>
      </c>
      <c r="B28" s="6" t="s">
        <v>28</v>
      </c>
      <c r="C28" s="36">
        <f>C26/12/C27*1000</f>
        <v>56573.51598173516</v>
      </c>
      <c r="D28" s="19">
        <f t="shared" si="1"/>
        <v>56573.51598173516</v>
      </c>
      <c r="E28" s="36">
        <f t="shared" ref="E28" si="4">E26/12/E27*1000</f>
        <v>41389.49771689497</v>
      </c>
    </row>
    <row r="29" spans="1:5" ht="25.5">
      <c r="A29" s="5" t="s">
        <v>5</v>
      </c>
      <c r="B29" s="6" t="s">
        <v>2</v>
      </c>
      <c r="C29" s="36">
        <v>7269.6</v>
      </c>
      <c r="D29" s="19">
        <f t="shared" si="1"/>
        <v>7269.6</v>
      </c>
      <c r="E29" s="36">
        <v>9769</v>
      </c>
    </row>
    <row r="30" spans="1:5" ht="36.75">
      <c r="A30" s="12" t="s">
        <v>6</v>
      </c>
      <c r="B30" s="6" t="s">
        <v>2</v>
      </c>
      <c r="C30" s="19">
        <v>3020.9</v>
      </c>
      <c r="D30" s="19">
        <f t="shared" si="1"/>
        <v>3020.9</v>
      </c>
      <c r="E30" s="19">
        <v>6039.2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1718.5</v>
      </c>
      <c r="D32" s="19">
        <f t="shared" si="1"/>
        <v>1718.5</v>
      </c>
      <c r="E32" s="19">
        <f>D32</f>
        <v>1718.5</v>
      </c>
    </row>
    <row r="33" spans="1:5" ht="38.25" customHeight="1">
      <c r="A33" s="12" t="s">
        <v>9</v>
      </c>
      <c r="B33" s="6" t="s">
        <v>2</v>
      </c>
      <c r="C33" s="19">
        <f>5123.6+2073.9</f>
        <v>7197.5</v>
      </c>
      <c r="D33" s="19">
        <f t="shared" si="1"/>
        <v>7197.5</v>
      </c>
      <c r="E33" s="19">
        <v>9150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G33"/>
  <sheetViews>
    <sheetView topLeftCell="A7" workbookViewId="0">
      <selection activeCell="E33" sqref="E33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68</v>
      </c>
      <c r="B2" s="43"/>
      <c r="C2" s="43"/>
      <c r="D2" s="43"/>
      <c r="E2" s="43"/>
    </row>
    <row r="3" spans="1:7">
      <c r="A3" s="1"/>
    </row>
    <row r="4" spans="1:7" ht="40.5" customHeight="1">
      <c r="A4" s="50" t="s">
        <v>36</v>
      </c>
      <c r="B4" s="50"/>
      <c r="C4" s="50"/>
      <c r="D4" s="50"/>
      <c r="E4" s="50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192</v>
      </c>
      <c r="D11" s="36">
        <v>192</v>
      </c>
      <c r="E11" s="36">
        <v>192</v>
      </c>
    </row>
    <row r="12" spans="1:7" ht="25.5">
      <c r="A12" s="10" t="s">
        <v>25</v>
      </c>
      <c r="B12" s="6" t="s">
        <v>2</v>
      </c>
      <c r="C12" s="19">
        <f>(C13-C32)/C11</f>
        <v>405.4708333333333</v>
      </c>
      <c r="D12" s="19">
        <f t="shared" ref="D12:E12" si="0">(D13-D32)/D11</f>
        <v>405.4708333333333</v>
      </c>
      <c r="E12" s="19">
        <f t="shared" si="0"/>
        <v>476.60052083333329</v>
      </c>
    </row>
    <row r="13" spans="1:7" ht="25.5">
      <c r="A13" s="5" t="s">
        <v>11</v>
      </c>
      <c r="B13" s="6" t="s">
        <v>2</v>
      </c>
      <c r="C13" s="19">
        <v>77850.399999999994</v>
      </c>
      <c r="D13" s="19">
        <f>C13</f>
        <v>77850.399999999994</v>
      </c>
      <c r="E13" s="19">
        <f>E15+E29+E30+E31+E32+E33</f>
        <v>91507.299999999988</v>
      </c>
    </row>
    <row r="14" spans="1:7">
      <c r="A14" s="8" t="s">
        <v>0</v>
      </c>
      <c r="B14" s="9"/>
      <c r="C14" s="19">
        <v>0</v>
      </c>
      <c r="D14" s="19">
        <f t="shared" ref="D14:D33" si="1">C14</f>
        <v>0</v>
      </c>
      <c r="E14" s="19">
        <v>0</v>
      </c>
      <c r="G14" s="18"/>
    </row>
    <row r="15" spans="1:7" ht="25.5">
      <c r="A15" s="5" t="s">
        <v>12</v>
      </c>
      <c r="B15" s="6" t="s">
        <v>2</v>
      </c>
      <c r="C15" s="19">
        <v>67318.5</v>
      </c>
      <c r="D15" s="19">
        <f t="shared" si="1"/>
        <v>67318.5</v>
      </c>
      <c r="E15" s="36">
        <f>E17+E20+E23+E26</f>
        <v>69804.7</v>
      </c>
    </row>
    <row r="16" spans="1:7">
      <c r="A16" s="8" t="s">
        <v>1</v>
      </c>
      <c r="B16" s="9"/>
      <c r="C16" s="19">
        <v>0</v>
      </c>
      <c r="D16" s="19">
        <f t="shared" si="1"/>
        <v>0</v>
      </c>
      <c r="E16" s="36">
        <v>0</v>
      </c>
    </row>
    <row r="17" spans="1:5" s="23" customFormat="1" ht="25.5">
      <c r="A17" s="26" t="s">
        <v>62</v>
      </c>
      <c r="B17" s="21" t="s">
        <v>2</v>
      </c>
      <c r="C17" s="36">
        <f>386.8*12</f>
        <v>4641.6000000000004</v>
      </c>
      <c r="D17" s="19">
        <f t="shared" si="1"/>
        <v>4641.6000000000004</v>
      </c>
      <c r="E17" s="36">
        <v>4882.3999999999996</v>
      </c>
    </row>
    <row r="18" spans="1:5" s="23" customFormat="1">
      <c r="A18" s="27" t="s">
        <v>4</v>
      </c>
      <c r="B18" s="28" t="s">
        <v>3</v>
      </c>
      <c r="C18" s="52">
        <v>4.5</v>
      </c>
      <c r="D18" s="19">
        <f t="shared" si="1"/>
        <v>4.5</v>
      </c>
      <c r="E18" s="52">
        <v>4.5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86155.555555555562</v>
      </c>
      <c r="D19" s="19">
        <f t="shared" si="1"/>
        <v>86155.555555555562</v>
      </c>
      <c r="E19" s="36">
        <f>E17*1000/12/E18</f>
        <v>90414.814814814818</v>
      </c>
    </row>
    <row r="20" spans="1:5" s="23" customFormat="1" ht="25.5">
      <c r="A20" s="26" t="s">
        <v>63</v>
      </c>
      <c r="B20" s="21" t="s">
        <v>2</v>
      </c>
      <c r="C20" s="36">
        <f>17697*3.85*12/1000*C21+13746</f>
        <v>43220.530469999998</v>
      </c>
      <c r="D20" s="19">
        <f t="shared" si="1"/>
        <v>43220.530469999998</v>
      </c>
      <c r="E20" s="36">
        <v>50612.6</v>
      </c>
    </row>
    <row r="21" spans="1:5" s="23" customFormat="1">
      <c r="A21" s="27" t="s">
        <v>4</v>
      </c>
      <c r="B21" s="28" t="s">
        <v>3</v>
      </c>
      <c r="C21" s="52">
        <f>38.1-2.05</f>
        <v>36.050000000000004</v>
      </c>
      <c r="D21" s="19">
        <f t="shared" si="1"/>
        <v>36.050000000000004</v>
      </c>
      <c r="E21" s="52">
        <v>36.75</v>
      </c>
    </row>
    <row r="22" spans="1:5" ht="21.95" customHeight="1">
      <c r="A22" s="10" t="s">
        <v>27</v>
      </c>
      <c r="B22" s="6" t="s">
        <v>28</v>
      </c>
      <c r="C22" s="36">
        <f>C20/12/C21*1000</f>
        <v>99908.762066574185</v>
      </c>
      <c r="D22" s="19">
        <f t="shared" si="1"/>
        <v>99908.762066574185</v>
      </c>
      <c r="E22" s="36">
        <f t="shared" ref="E22" si="2">E20/12/E21*1000</f>
        <v>114767.80045351472</v>
      </c>
    </row>
    <row r="23" spans="1:5" ht="39">
      <c r="A23" s="14" t="s">
        <v>26</v>
      </c>
      <c r="B23" s="6" t="s">
        <v>2</v>
      </c>
      <c r="C23" s="36">
        <v>4353.2</v>
      </c>
      <c r="D23" s="19">
        <f t="shared" si="1"/>
        <v>4353.2</v>
      </c>
      <c r="E23" s="36">
        <v>4341.1000000000004</v>
      </c>
    </row>
    <row r="24" spans="1:5">
      <c r="A24" s="10" t="s">
        <v>4</v>
      </c>
      <c r="B24" s="11" t="s">
        <v>3</v>
      </c>
      <c r="C24" s="52">
        <v>4.5</v>
      </c>
      <c r="D24" s="19">
        <f t="shared" si="1"/>
        <v>4.5</v>
      </c>
      <c r="E24" s="52">
        <v>4</v>
      </c>
    </row>
    <row r="25" spans="1:5" ht="21.95" customHeight="1">
      <c r="A25" s="10" t="s">
        <v>27</v>
      </c>
      <c r="B25" s="6" t="s">
        <v>28</v>
      </c>
      <c r="C25" s="36">
        <f>C23/C24/12*1000</f>
        <v>80614.814814814803</v>
      </c>
      <c r="D25" s="19">
        <f t="shared" si="1"/>
        <v>80614.814814814803</v>
      </c>
      <c r="E25" s="36">
        <f t="shared" ref="E25" si="3">E23/E24/12*1000</f>
        <v>90439.583333333343</v>
      </c>
    </row>
    <row r="26" spans="1:5" ht="25.5">
      <c r="A26" s="7" t="s">
        <v>24</v>
      </c>
      <c r="B26" s="6" t="s">
        <v>2</v>
      </c>
      <c r="C26" s="36">
        <v>8555.5</v>
      </c>
      <c r="D26" s="19">
        <f t="shared" si="1"/>
        <v>8555.5</v>
      </c>
      <c r="E26" s="36">
        <v>9968.6</v>
      </c>
    </row>
    <row r="27" spans="1:5">
      <c r="A27" s="10" t="s">
        <v>4</v>
      </c>
      <c r="B27" s="11" t="s">
        <v>3</v>
      </c>
      <c r="C27" s="52">
        <v>14.75</v>
      </c>
      <c r="D27" s="19">
        <f t="shared" si="1"/>
        <v>14.75</v>
      </c>
      <c r="E27" s="52">
        <v>18.149999999999999</v>
      </c>
    </row>
    <row r="28" spans="1:5" ht="21.95" customHeight="1">
      <c r="A28" s="10" t="s">
        <v>27</v>
      </c>
      <c r="B28" s="6" t="s">
        <v>28</v>
      </c>
      <c r="C28" s="36">
        <f>C26/12/C27*1000</f>
        <v>48336.158192090399</v>
      </c>
      <c r="D28" s="19">
        <f t="shared" si="1"/>
        <v>48336.158192090399</v>
      </c>
      <c r="E28" s="36">
        <f t="shared" ref="E28" si="4">E26/12/E27*1000</f>
        <v>45769.513314967866</v>
      </c>
    </row>
    <row r="29" spans="1:5" ht="25.5">
      <c r="A29" s="5" t="s">
        <v>5</v>
      </c>
      <c r="B29" s="6" t="s">
        <v>2</v>
      </c>
      <c r="C29" s="19">
        <v>6546.9</v>
      </c>
      <c r="D29" s="19">
        <f t="shared" si="1"/>
        <v>6546.9</v>
      </c>
      <c r="E29" s="19">
        <v>7449.9</v>
      </c>
    </row>
    <row r="30" spans="1:5" ht="36.75">
      <c r="A30" s="12" t="s">
        <v>6</v>
      </c>
      <c r="B30" s="6" t="s">
        <v>2</v>
      </c>
      <c r="C30" s="19">
        <v>3068.4</v>
      </c>
      <c r="D30" s="19">
        <f t="shared" si="1"/>
        <v>3068.4</v>
      </c>
      <c r="E30" s="19">
        <v>4672.7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0</v>
      </c>
      <c r="D32" s="19">
        <f t="shared" si="1"/>
        <v>0</v>
      </c>
      <c r="E32" s="19">
        <v>0</v>
      </c>
    </row>
    <row r="33" spans="1:5" ht="38.25" customHeight="1">
      <c r="A33" s="12" t="s">
        <v>9</v>
      </c>
      <c r="B33" s="6" t="s">
        <v>2</v>
      </c>
      <c r="C33" s="19">
        <f>4239.5+3224.4</f>
        <v>7463.9</v>
      </c>
      <c r="D33" s="19">
        <f t="shared" si="1"/>
        <v>7463.9</v>
      </c>
      <c r="E33" s="19">
        <v>9580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topLeftCell="A10" workbookViewId="0">
      <selection activeCell="F32" sqref="F32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18" customWidth="1"/>
    <col min="5" max="5" width="12" style="53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69</v>
      </c>
      <c r="B2" s="43"/>
      <c r="C2" s="43"/>
      <c r="D2" s="43"/>
      <c r="E2" s="43"/>
    </row>
    <row r="3" spans="1:7">
      <c r="A3" s="1"/>
    </row>
    <row r="4" spans="1:7" ht="39.75" customHeight="1">
      <c r="A4" s="50" t="s">
        <v>35</v>
      </c>
      <c r="B4" s="50"/>
      <c r="C4" s="50"/>
      <c r="D4" s="50"/>
      <c r="E4" s="50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572</v>
      </c>
      <c r="D11" s="36">
        <v>572</v>
      </c>
      <c r="E11" s="36">
        <v>572</v>
      </c>
    </row>
    <row r="12" spans="1:7" ht="25.5">
      <c r="A12" s="10" t="s">
        <v>25</v>
      </c>
      <c r="B12" s="6" t="s">
        <v>2</v>
      </c>
      <c r="C12" s="19">
        <f>(C13-C32)/C11</f>
        <v>189.86118881118881</v>
      </c>
      <c r="D12" s="19">
        <f t="shared" ref="D12:E12" si="0">(D13-D32)/D11</f>
        <v>189.86118881118881</v>
      </c>
      <c r="E12" s="19">
        <f t="shared" si="0"/>
        <v>200.44755244755245</v>
      </c>
    </row>
    <row r="13" spans="1:7" ht="25.5">
      <c r="A13" s="5" t="s">
        <v>11</v>
      </c>
      <c r="B13" s="6" t="s">
        <v>2</v>
      </c>
      <c r="C13" s="19">
        <v>108944.3</v>
      </c>
      <c r="D13" s="19">
        <f>C13</f>
        <v>108944.3</v>
      </c>
      <c r="E13" s="19">
        <f>E15+E29+E30+E31+E32+E33</f>
        <v>117789</v>
      </c>
    </row>
    <row r="14" spans="1:7">
      <c r="A14" s="8" t="s">
        <v>0</v>
      </c>
      <c r="B14" s="9"/>
      <c r="C14" s="19">
        <v>0</v>
      </c>
      <c r="D14" s="19">
        <f t="shared" ref="D14:D33" si="1">C14</f>
        <v>0</v>
      </c>
      <c r="E14" s="19">
        <v>0</v>
      </c>
      <c r="G14" s="18"/>
    </row>
    <row r="15" spans="1:7" ht="25.5">
      <c r="A15" s="5" t="s">
        <v>12</v>
      </c>
      <c r="B15" s="6" t="s">
        <v>2</v>
      </c>
      <c r="C15" s="19">
        <v>99865.9</v>
      </c>
      <c r="D15" s="19">
        <f t="shared" si="1"/>
        <v>99865.9</v>
      </c>
      <c r="E15" s="19">
        <f>E17+E20+E23+E26</f>
        <v>78181.399999999994</v>
      </c>
    </row>
    <row r="16" spans="1:7">
      <c r="A16" s="8" t="s">
        <v>1</v>
      </c>
      <c r="B16" s="9"/>
      <c r="C16" s="19">
        <v>0</v>
      </c>
      <c r="D16" s="19">
        <f t="shared" si="1"/>
        <v>0</v>
      </c>
      <c r="E16" s="19">
        <v>0</v>
      </c>
    </row>
    <row r="17" spans="1:7" s="23" customFormat="1" ht="25.5">
      <c r="A17" s="26" t="s">
        <v>62</v>
      </c>
      <c r="B17" s="21" t="s">
        <v>2</v>
      </c>
      <c r="C17" s="36">
        <f>490*12</f>
        <v>5880</v>
      </c>
      <c r="D17" s="19">
        <f t="shared" si="1"/>
        <v>5880</v>
      </c>
      <c r="E17" s="36">
        <v>5954.7</v>
      </c>
    </row>
    <row r="18" spans="1:7" s="23" customFormat="1">
      <c r="A18" s="27" t="s">
        <v>4</v>
      </c>
      <c r="B18" s="28" t="s">
        <v>3</v>
      </c>
      <c r="C18" s="52">
        <v>5</v>
      </c>
      <c r="D18" s="19">
        <f t="shared" si="1"/>
        <v>5</v>
      </c>
      <c r="E18" s="36">
        <v>5</v>
      </c>
    </row>
    <row r="19" spans="1:7" s="23" customFormat="1" ht="21.95" customHeight="1">
      <c r="A19" s="27" t="s">
        <v>27</v>
      </c>
      <c r="B19" s="21" t="s">
        <v>28</v>
      </c>
      <c r="C19" s="36">
        <f>C17/C18/12*1000+200</f>
        <v>98200</v>
      </c>
      <c r="D19" s="19">
        <f t="shared" si="1"/>
        <v>98200</v>
      </c>
      <c r="E19" s="36">
        <f>E17*1000/12/E18</f>
        <v>99245</v>
      </c>
    </row>
    <row r="20" spans="1:7" s="23" customFormat="1" ht="25.5">
      <c r="A20" s="26" t="s">
        <v>63</v>
      </c>
      <c r="B20" s="21" t="s">
        <v>2</v>
      </c>
      <c r="C20" s="36">
        <f>17697*3.85*12/1000*C21+24696</f>
        <v>70563.438540000003</v>
      </c>
      <c r="D20" s="19">
        <f t="shared" si="1"/>
        <v>70563.438540000003</v>
      </c>
      <c r="E20" s="36">
        <v>58599</v>
      </c>
    </row>
    <row r="21" spans="1:7">
      <c r="A21" s="10" t="s">
        <v>4</v>
      </c>
      <c r="B21" s="11" t="s">
        <v>3</v>
      </c>
      <c r="C21" s="52">
        <f>49.7+6.4</f>
        <v>56.1</v>
      </c>
      <c r="D21" s="19">
        <f t="shared" si="1"/>
        <v>56.1</v>
      </c>
      <c r="E21" s="36">
        <v>46.4</v>
      </c>
    </row>
    <row r="22" spans="1:7" ht="21.95" customHeight="1">
      <c r="A22" s="10" t="s">
        <v>27</v>
      </c>
      <c r="B22" s="6" t="s">
        <v>28</v>
      </c>
      <c r="C22" s="36">
        <f>C20/12/C21*1000</f>
        <v>104817.94197860963</v>
      </c>
      <c r="D22" s="19">
        <f t="shared" si="1"/>
        <v>104817.94197860963</v>
      </c>
      <c r="E22" s="36">
        <f t="shared" ref="E22" si="2">E20/12/E21*1000</f>
        <v>105242.45689655172</v>
      </c>
    </row>
    <row r="23" spans="1:7" ht="39">
      <c r="A23" s="14" t="s">
        <v>26</v>
      </c>
      <c r="B23" s="6" t="s">
        <v>2</v>
      </c>
      <c r="C23" s="36">
        <v>5353.2</v>
      </c>
      <c r="D23" s="19">
        <f t="shared" si="1"/>
        <v>5353.2</v>
      </c>
      <c r="E23" s="36">
        <v>5504.9</v>
      </c>
    </row>
    <row r="24" spans="1:7">
      <c r="A24" s="10" t="s">
        <v>4</v>
      </c>
      <c r="B24" s="11" t="s">
        <v>3</v>
      </c>
      <c r="C24" s="52">
        <v>6</v>
      </c>
      <c r="D24" s="19">
        <f t="shared" si="1"/>
        <v>6</v>
      </c>
      <c r="E24" s="36">
        <v>6</v>
      </c>
    </row>
    <row r="25" spans="1:7" ht="21.95" customHeight="1">
      <c r="A25" s="10" t="s">
        <v>27</v>
      </c>
      <c r="B25" s="6" t="s">
        <v>28</v>
      </c>
      <c r="C25" s="36">
        <f>C23/C24/12*1000</f>
        <v>74350</v>
      </c>
      <c r="D25" s="19">
        <f t="shared" si="1"/>
        <v>74350</v>
      </c>
      <c r="E25" s="36">
        <f t="shared" ref="E25" si="3">E23/E24/12*1000</f>
        <v>76456.944444444438</v>
      </c>
    </row>
    <row r="26" spans="1:7" ht="25.5">
      <c r="A26" s="7" t="s">
        <v>24</v>
      </c>
      <c r="B26" s="6" t="s">
        <v>2</v>
      </c>
      <c r="C26" s="36">
        <v>8145.5</v>
      </c>
      <c r="D26" s="19">
        <f t="shared" si="1"/>
        <v>8145.5</v>
      </c>
      <c r="E26" s="36">
        <v>8122.8</v>
      </c>
    </row>
    <row r="27" spans="1:7">
      <c r="A27" s="10" t="s">
        <v>4</v>
      </c>
      <c r="B27" s="11" t="s">
        <v>3</v>
      </c>
      <c r="C27" s="52">
        <v>14</v>
      </c>
      <c r="D27" s="19">
        <f t="shared" si="1"/>
        <v>14</v>
      </c>
      <c r="E27" s="36">
        <v>14</v>
      </c>
    </row>
    <row r="28" spans="1:7" ht="21.95" customHeight="1">
      <c r="A28" s="10" t="s">
        <v>27</v>
      </c>
      <c r="B28" s="6" t="s">
        <v>28</v>
      </c>
      <c r="C28" s="36">
        <f>C26/12/C27*1000</f>
        <v>48485.119047619046</v>
      </c>
      <c r="D28" s="19">
        <f t="shared" si="1"/>
        <v>48485.119047619046</v>
      </c>
      <c r="E28" s="36">
        <f t="shared" ref="E28" si="4">E26/12/E27*1000</f>
        <v>48350</v>
      </c>
    </row>
    <row r="29" spans="1:7" ht="25.5">
      <c r="A29" s="5" t="s">
        <v>5</v>
      </c>
      <c r="B29" s="6" t="s">
        <v>2</v>
      </c>
      <c r="C29" s="19">
        <v>9923.4</v>
      </c>
      <c r="D29" s="19">
        <f t="shared" si="1"/>
        <v>9923.4</v>
      </c>
      <c r="E29" s="19">
        <v>10983.6</v>
      </c>
      <c r="G29" s="2" t="s">
        <v>77</v>
      </c>
    </row>
    <row r="30" spans="1:7" ht="36.75">
      <c r="A30" s="12" t="s">
        <v>6</v>
      </c>
      <c r="B30" s="6" t="s">
        <v>2</v>
      </c>
      <c r="C30" s="19">
        <v>3534.4</v>
      </c>
      <c r="D30" s="19">
        <f t="shared" si="1"/>
        <v>3534.4</v>
      </c>
      <c r="E30" s="19">
        <v>5891</v>
      </c>
    </row>
    <row r="31" spans="1:7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7" ht="36.75">
      <c r="A32" s="12" t="s">
        <v>8</v>
      </c>
      <c r="B32" s="6" t="s">
        <v>2</v>
      </c>
      <c r="C32" s="19">
        <v>343.7</v>
      </c>
      <c r="D32" s="19">
        <f t="shared" si="1"/>
        <v>343.7</v>
      </c>
      <c r="E32" s="19">
        <v>3133</v>
      </c>
    </row>
    <row r="33" spans="1:6" ht="38.25" customHeight="1">
      <c r="A33" s="12" t="s">
        <v>9</v>
      </c>
      <c r="B33" s="6" t="s">
        <v>2</v>
      </c>
      <c r="C33" s="19">
        <f>4123.6+1076.7</f>
        <v>5200.3</v>
      </c>
      <c r="D33" s="19">
        <f t="shared" si="1"/>
        <v>5200.3</v>
      </c>
      <c r="E33" s="19">
        <v>19600</v>
      </c>
      <c r="F33" s="2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3"/>
  <sheetViews>
    <sheetView topLeftCell="A8" workbookViewId="0">
      <selection activeCell="F30" sqref="F30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7" width="12" style="2" customWidth="1"/>
    <col min="8" max="16384" width="9.140625" style="2"/>
  </cols>
  <sheetData>
    <row r="1" spans="1:7">
      <c r="A1" s="43" t="s">
        <v>15</v>
      </c>
      <c r="B1" s="43"/>
      <c r="C1" s="43"/>
      <c r="D1" s="43"/>
      <c r="E1" s="43"/>
    </row>
    <row r="2" spans="1:7">
      <c r="A2" s="43" t="s">
        <v>69</v>
      </c>
      <c r="B2" s="43"/>
      <c r="C2" s="43"/>
      <c r="D2" s="43"/>
      <c r="E2" s="43"/>
    </row>
    <row r="3" spans="1:7">
      <c r="A3" s="1"/>
    </row>
    <row r="4" spans="1:7" ht="44.25" customHeight="1">
      <c r="A4" s="50" t="s">
        <v>37</v>
      </c>
      <c r="B4" s="50"/>
      <c r="C4" s="50"/>
      <c r="D4" s="50"/>
      <c r="E4" s="50"/>
    </row>
    <row r="5" spans="1:7" ht="15.75" customHeight="1">
      <c r="A5" s="45" t="s">
        <v>17</v>
      </c>
      <c r="B5" s="45"/>
      <c r="C5" s="45"/>
      <c r="D5" s="45"/>
      <c r="E5" s="45"/>
    </row>
    <row r="6" spans="1:7">
      <c r="A6" s="4"/>
    </row>
    <row r="7" spans="1:7">
      <c r="A7" s="13" t="s">
        <v>18</v>
      </c>
    </row>
    <row r="8" spans="1:7">
      <c r="A8" s="1"/>
    </row>
    <row r="9" spans="1:7">
      <c r="A9" s="46" t="s">
        <v>29</v>
      </c>
      <c r="B9" s="47" t="s">
        <v>19</v>
      </c>
      <c r="C9" s="49" t="s">
        <v>16</v>
      </c>
      <c r="D9" s="49"/>
      <c r="E9" s="49"/>
    </row>
    <row r="10" spans="1:7" ht="40.5">
      <c r="A10" s="46"/>
      <c r="B10" s="47"/>
      <c r="C10" s="34" t="s">
        <v>20</v>
      </c>
      <c r="D10" s="34" t="s">
        <v>21</v>
      </c>
      <c r="E10" s="42" t="s">
        <v>14</v>
      </c>
    </row>
    <row r="11" spans="1:7">
      <c r="A11" s="5" t="s">
        <v>22</v>
      </c>
      <c r="B11" s="6" t="s">
        <v>10</v>
      </c>
      <c r="C11" s="36">
        <v>351</v>
      </c>
      <c r="D11" s="36">
        <v>351</v>
      </c>
      <c r="E11" s="36">
        <v>351</v>
      </c>
    </row>
    <row r="12" spans="1:7" ht="25.5">
      <c r="A12" s="10" t="s">
        <v>25</v>
      </c>
      <c r="B12" s="6" t="s">
        <v>2</v>
      </c>
      <c r="C12" s="19">
        <f>(C13-C32)/C11</f>
        <v>259.45754985754985</v>
      </c>
      <c r="D12" s="19">
        <f t="shared" ref="D12:E12" si="0">(D13-D32)/D11</f>
        <v>259.45754985754985</v>
      </c>
      <c r="E12" s="19">
        <f t="shared" si="0"/>
        <v>284.76125356125357</v>
      </c>
      <c r="F12" s="2" t="s">
        <v>77</v>
      </c>
    </row>
    <row r="13" spans="1:7" ht="25.5">
      <c r="A13" s="5" t="s">
        <v>11</v>
      </c>
      <c r="B13" s="6" t="s">
        <v>2</v>
      </c>
      <c r="C13" s="19">
        <v>92100.7</v>
      </c>
      <c r="D13" s="19">
        <f>C13</f>
        <v>92100.7</v>
      </c>
      <c r="E13" s="19">
        <f>E15+E29+E30+E31+E32+E33</f>
        <v>101178.3</v>
      </c>
    </row>
    <row r="14" spans="1:7">
      <c r="A14" s="8" t="s">
        <v>0</v>
      </c>
      <c r="B14" s="9"/>
      <c r="C14" s="19">
        <v>0</v>
      </c>
      <c r="D14" s="19">
        <f t="shared" ref="D14:D33" si="1">C14</f>
        <v>0</v>
      </c>
      <c r="E14" s="19">
        <v>0</v>
      </c>
      <c r="G14" s="18"/>
    </row>
    <row r="15" spans="1:7" ht="25.5">
      <c r="A15" s="5" t="s">
        <v>12</v>
      </c>
      <c r="B15" s="6" t="s">
        <v>2</v>
      </c>
      <c r="C15" s="19">
        <v>78122.3</v>
      </c>
      <c r="D15" s="19">
        <f t="shared" si="1"/>
        <v>78122.3</v>
      </c>
      <c r="E15" s="19">
        <f>E17+E20+E23+E26</f>
        <v>67553.8</v>
      </c>
    </row>
    <row r="16" spans="1:7">
      <c r="A16" s="8" t="s">
        <v>1</v>
      </c>
      <c r="B16" s="9"/>
      <c r="C16" s="19">
        <v>0</v>
      </c>
      <c r="D16" s="19">
        <f t="shared" si="1"/>
        <v>0</v>
      </c>
      <c r="E16" s="19">
        <v>0</v>
      </c>
    </row>
    <row r="17" spans="1:5" s="23" customFormat="1" ht="25.5">
      <c r="A17" s="26" t="s">
        <v>62</v>
      </c>
      <c r="B17" s="21" t="s">
        <v>2</v>
      </c>
      <c r="C17" s="36">
        <v>4325</v>
      </c>
      <c r="D17" s="19">
        <f t="shared" si="1"/>
        <v>4325</v>
      </c>
      <c r="E17" s="36">
        <v>4589.8999999999996</v>
      </c>
    </row>
    <row r="18" spans="1:5" s="23" customFormat="1">
      <c r="A18" s="27" t="s">
        <v>4</v>
      </c>
      <c r="B18" s="28" t="s">
        <v>3</v>
      </c>
      <c r="C18" s="52">
        <v>4</v>
      </c>
      <c r="D18" s="19">
        <f t="shared" si="1"/>
        <v>4</v>
      </c>
      <c r="E18" s="52">
        <v>4</v>
      </c>
    </row>
    <row r="19" spans="1:5" s="23" customFormat="1" ht="21.95" customHeight="1">
      <c r="A19" s="27" t="s">
        <v>27</v>
      </c>
      <c r="B19" s="21" t="s">
        <v>28</v>
      </c>
      <c r="C19" s="36">
        <f>C17/C18/12*1000+200</f>
        <v>90304.166666666672</v>
      </c>
      <c r="D19" s="19">
        <f t="shared" si="1"/>
        <v>90304.166666666672</v>
      </c>
      <c r="E19" s="36">
        <f>E17*1000/12/E18</f>
        <v>95622.916666666672</v>
      </c>
    </row>
    <row r="20" spans="1:5" s="23" customFormat="1" ht="25.5">
      <c r="A20" s="26" t="s">
        <v>63</v>
      </c>
      <c r="B20" s="21" t="s">
        <v>2</v>
      </c>
      <c r="C20" s="36">
        <v>47955</v>
      </c>
      <c r="D20" s="19">
        <f t="shared" si="1"/>
        <v>47955</v>
      </c>
      <c r="E20" s="36">
        <v>41685.5</v>
      </c>
    </row>
    <row r="21" spans="1:5" s="23" customFormat="1">
      <c r="A21" s="27" t="s">
        <v>4</v>
      </c>
      <c r="B21" s="28" t="s">
        <v>3</v>
      </c>
      <c r="C21" s="52">
        <f>31.7+7.75</f>
        <v>39.450000000000003</v>
      </c>
      <c r="D21" s="19">
        <f t="shared" si="1"/>
        <v>39.450000000000003</v>
      </c>
      <c r="E21" s="52">
        <v>34.450000000000003</v>
      </c>
    </row>
    <row r="22" spans="1:5" ht="21.95" customHeight="1">
      <c r="A22" s="10" t="s">
        <v>27</v>
      </c>
      <c r="B22" s="6" t="s">
        <v>28</v>
      </c>
      <c r="C22" s="36">
        <f>C20/12/C21*1000</f>
        <v>101299.11280101394</v>
      </c>
      <c r="D22" s="19">
        <f t="shared" si="1"/>
        <v>101299.11280101394</v>
      </c>
      <c r="E22" s="36">
        <f t="shared" ref="E22" si="2">E20/12/E21*1000</f>
        <v>100835.75229801644</v>
      </c>
    </row>
    <row r="23" spans="1:5" ht="39">
      <c r="A23" s="14" t="s">
        <v>26</v>
      </c>
      <c r="B23" s="6" t="s">
        <v>2</v>
      </c>
      <c r="C23" s="36">
        <v>7752</v>
      </c>
      <c r="D23" s="19">
        <f t="shared" si="1"/>
        <v>7752</v>
      </c>
      <c r="E23" s="36">
        <v>7314.3</v>
      </c>
    </row>
    <row r="24" spans="1:5">
      <c r="A24" s="10" t="s">
        <v>4</v>
      </c>
      <c r="B24" s="11" t="s">
        <v>3</v>
      </c>
      <c r="C24" s="52">
        <v>7.5</v>
      </c>
      <c r="D24" s="19">
        <f t="shared" si="1"/>
        <v>7.5</v>
      </c>
      <c r="E24" s="52">
        <v>7</v>
      </c>
    </row>
    <row r="25" spans="1:5" ht="21.95" customHeight="1">
      <c r="A25" s="10" t="s">
        <v>27</v>
      </c>
      <c r="B25" s="6" t="s">
        <v>28</v>
      </c>
      <c r="C25" s="36">
        <f>C23/C24/12*1000</f>
        <v>86133.333333333328</v>
      </c>
      <c r="D25" s="19">
        <f t="shared" si="1"/>
        <v>86133.333333333328</v>
      </c>
      <c r="E25" s="36">
        <f t="shared" ref="E25" si="3">E23/E24/12*1000</f>
        <v>87075</v>
      </c>
    </row>
    <row r="26" spans="1:5" ht="25.5">
      <c r="A26" s="7" t="s">
        <v>24</v>
      </c>
      <c r="B26" s="6" t="s">
        <v>2</v>
      </c>
      <c r="C26" s="36">
        <v>12258</v>
      </c>
      <c r="D26" s="19">
        <f t="shared" si="1"/>
        <v>12258</v>
      </c>
      <c r="E26" s="36">
        <v>13964.1</v>
      </c>
    </row>
    <row r="27" spans="1:5">
      <c r="A27" s="10" t="s">
        <v>4</v>
      </c>
      <c r="B27" s="11" t="s">
        <v>3</v>
      </c>
      <c r="C27" s="52">
        <v>21.75</v>
      </c>
      <c r="D27" s="19">
        <f t="shared" si="1"/>
        <v>21.75</v>
      </c>
      <c r="E27" s="52">
        <v>24.9</v>
      </c>
    </row>
    <row r="28" spans="1:5" ht="21.95" customHeight="1">
      <c r="A28" s="10" t="s">
        <v>27</v>
      </c>
      <c r="B28" s="6" t="s">
        <v>28</v>
      </c>
      <c r="C28" s="36">
        <f>C26/12/C27*1000</f>
        <v>46965.517241379312</v>
      </c>
      <c r="D28" s="19">
        <f t="shared" si="1"/>
        <v>46965.517241379312</v>
      </c>
      <c r="E28" s="36">
        <f t="shared" ref="E28" si="4">E26/12/E27*1000</f>
        <v>46733.935742971888</v>
      </c>
    </row>
    <row r="29" spans="1:5" ht="25.5">
      <c r="A29" s="5" t="s">
        <v>5</v>
      </c>
      <c r="B29" s="6" t="s">
        <v>2</v>
      </c>
      <c r="C29" s="19">
        <v>6733.4</v>
      </c>
      <c r="D29" s="19">
        <f t="shared" si="1"/>
        <v>6733.4</v>
      </c>
      <c r="E29" s="19">
        <f>7533</f>
        <v>7533</v>
      </c>
    </row>
    <row r="30" spans="1:5" ht="36.75">
      <c r="A30" s="12" t="s">
        <v>6</v>
      </c>
      <c r="B30" s="6" t="s">
        <v>2</v>
      </c>
      <c r="C30" s="19">
        <v>5515.6</v>
      </c>
      <c r="D30" s="19">
        <f t="shared" si="1"/>
        <v>5515.6</v>
      </c>
      <c r="E30" s="19">
        <v>6424.7</v>
      </c>
    </row>
    <row r="31" spans="1:5" ht="25.5">
      <c r="A31" s="12" t="s">
        <v>7</v>
      </c>
      <c r="B31" s="6" t="s">
        <v>2</v>
      </c>
      <c r="C31" s="19">
        <v>0</v>
      </c>
      <c r="D31" s="19">
        <f t="shared" si="1"/>
        <v>0</v>
      </c>
      <c r="E31" s="19">
        <v>0</v>
      </c>
    </row>
    <row r="32" spans="1:5" ht="36.75">
      <c r="A32" s="12" t="s">
        <v>8</v>
      </c>
      <c r="B32" s="6" t="s">
        <v>2</v>
      </c>
      <c r="C32" s="19">
        <v>1031.0999999999999</v>
      </c>
      <c r="D32" s="19">
        <f t="shared" si="1"/>
        <v>1031.0999999999999</v>
      </c>
      <c r="E32" s="19">
        <v>1227.0999999999999</v>
      </c>
    </row>
    <row r="33" spans="1:5" ht="38.25" customHeight="1">
      <c r="A33" s="12" t="s">
        <v>9</v>
      </c>
      <c r="B33" s="6" t="s">
        <v>2</v>
      </c>
      <c r="C33" s="19">
        <f>1047.8+6383.9</f>
        <v>7431.7</v>
      </c>
      <c r="D33" s="19">
        <f t="shared" si="1"/>
        <v>7431.7</v>
      </c>
      <c r="E33" s="19">
        <v>18439.7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всего</vt:lpstr>
      <vt:lpstr>СШ №1</vt:lpstr>
      <vt:lpstr>СШ №2</vt:lpstr>
      <vt:lpstr>СШ №3</vt:lpstr>
      <vt:lpstr>СШ №4</vt:lpstr>
      <vt:lpstr>СШ №5</vt:lpstr>
      <vt:lpstr>СШ №6</vt:lpstr>
      <vt:lpstr>СШ №7</vt:lpstr>
      <vt:lpstr>сш №8</vt:lpstr>
      <vt:lpstr>Адыр ош</vt:lpstr>
      <vt:lpstr>борис сш</vt:lpstr>
      <vt:lpstr>бесх</vt:lpstr>
      <vt:lpstr>есенг</vt:lpstr>
      <vt:lpstr>марКсш</vt:lpstr>
      <vt:lpstr>мар СШ</vt:lpstr>
      <vt:lpstr>магд</vt:lpstr>
      <vt:lpstr>новос</vt:lpstr>
      <vt:lpstr>ново-мар</vt:lpstr>
      <vt:lpstr>акана курманова</vt:lpstr>
      <vt:lpstr>бастау1</vt:lpstr>
      <vt:lpstr>бастау2)</vt:lpstr>
      <vt:lpstr>попв</vt:lpstr>
      <vt:lpstr>покр</vt:lpstr>
      <vt:lpstr>полт</vt:lpstr>
      <vt:lpstr>радион</vt:lpstr>
      <vt:lpstr>соч</vt:lpstr>
      <vt:lpstr>серг</vt:lpstr>
      <vt:lpstr>сепе</vt:lpstr>
      <vt:lpstr>сам.ош</vt:lpstr>
      <vt:lpstr>сад.ош</vt:lpstr>
      <vt:lpstr>тимаш</vt:lpstr>
      <vt:lpstr>тельм</vt:lpstr>
      <vt:lpstr>титов</vt:lpstr>
      <vt:lpstr>шуйск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2019-03-07T10:13:22Z</dcterms:modified>
</cp:coreProperties>
</file>